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02BA5980-7DC8-491E-9EEC-F2A810A181F6}" xr6:coauthVersionLast="47" xr6:coauthVersionMax="47" xr10:uidLastSave="{00000000-0000-0000-0000-000000000000}"/>
  <bookViews>
    <workbookView xWindow="-96" yWindow="-96" windowWidth="23232" windowHeight="12432" tabRatio="945" firstSheet="14" activeTab="20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Produktion &amp; forbrug" sheetId="74" r:id="rId20"/>
    <sheet name="Kategorisering af kcal" sheetId="75" r:id="rId21"/>
    <sheet name="Landbrugsareal - resultat" sheetId="20" state="hidden" r:id="rId22"/>
    <sheet name="Pivot tabeller og data" sheetId="68" state="hidden" r:id="rId23"/>
    <sheet name="Resultat-Forbrug af biomasse" sheetId="56" state="hidden" r:id="rId24"/>
    <sheet name="Resultat-Import" sheetId="51" state="hidden" r:id="rId25"/>
    <sheet name="Resultat-Eksport" sheetId="71" state="hidden" r:id="rId26"/>
    <sheet name="Resultat-Potentiale til energi" sheetId="50" state="hidden" r:id="rId27"/>
    <sheet name="Resultat-Tørstof til energi" sheetId="67" state="hidden" r:id="rId28"/>
    <sheet name="CO2-pivot" sheetId="64" state="hidden" r:id="rId29"/>
    <sheet name="CO2-udledning" sheetId="63" state="hidden" r:id="rId30"/>
    <sheet name="Produktion afgrøder-pivot" sheetId="60" state="hidden" r:id="rId31"/>
    <sheet name="Produktion af afgrøder" sheetId="57" state="hidden" r:id="rId32"/>
    <sheet name="Produkt skovbrug" sheetId="62" state="hidden" r:id="rId33"/>
    <sheet name="Produkt havbrug" sheetId="61" state="hidden" r:id="rId34"/>
    <sheet name="Arealanvendelse - pivot" sheetId="23" state="hidden" r:id="rId35"/>
    <sheet name="Pivot chart - landbrug" sheetId="19" state="hidden" r:id="rId36"/>
    <sheet name="Arealanvendelsesresultater-big" sheetId="22" state="hidden" r:id="rId37"/>
    <sheet name="Landbrugsresultater - pivot" sheetId="18" state="hidden" r:id="rId38"/>
  </sheets>
  <externalReferences>
    <externalReference r:id="rId39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9" hidden="1">'Produktion &amp; forbrug'!$A$3:$AA$147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40"/>
    <pivotCache cacheId="1" r:id="rId41"/>
    <pivotCache cacheId="2" r:id="rId42"/>
    <pivotCache cacheId="3" r:id="rId43"/>
    <pivotCache cacheId="4" r:id="rId44"/>
    <pivotCache cacheId="5" r:id="rId45"/>
    <pivotCache cacheId="6" r:id="rId46"/>
    <pivotCache cacheId="7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5" i="74" l="1"/>
  <c r="E65" i="74"/>
  <c r="E113" i="74" s="1"/>
  <c r="G2" i="75"/>
  <c r="E40" i="17" l="1"/>
  <c r="D19" i="75"/>
  <c r="D30" i="75" s="1"/>
  <c r="D22" i="75"/>
  <c r="D23" i="75"/>
  <c r="D26" i="75"/>
  <c r="D27" i="75"/>
  <c r="D28" i="75"/>
  <c r="D29" i="75"/>
  <c r="D18" i="75"/>
  <c r="T3" i="75"/>
  <c r="D24" i="75" s="1"/>
  <c r="T4" i="75"/>
  <c r="T5" i="75"/>
  <c r="T6" i="75"/>
  <c r="T7" i="75"/>
  <c r="T8" i="75"/>
  <c r="T9" i="75"/>
  <c r="T10" i="75"/>
  <c r="T11" i="75"/>
  <c r="D21" i="75" s="1"/>
  <c r="T12" i="75"/>
  <c r="T13" i="75"/>
  <c r="T14" i="75"/>
  <c r="T15" i="75"/>
  <c r="D20" i="75" s="1"/>
  <c r="T16" i="75"/>
  <c r="T17" i="75"/>
  <c r="T18" i="75"/>
  <c r="T19" i="75"/>
  <c r="T20" i="75"/>
  <c r="T21" i="75"/>
  <c r="T22" i="75"/>
  <c r="T2" i="75"/>
  <c r="D25" i="75" s="1"/>
  <c r="D5" i="75"/>
  <c r="D6" i="75"/>
  <c r="D7" i="75"/>
  <c r="D10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52" i="74"/>
  <c r="C53" i="74"/>
  <c r="C54" i="74"/>
  <c r="C55" i="74"/>
  <c r="C56" i="74"/>
  <c r="C57" i="74"/>
  <c r="C58" i="74"/>
  <c r="C59" i="74"/>
  <c r="C60" i="74"/>
  <c r="C61" i="74"/>
  <c r="C62" i="74"/>
  <c r="C63" i="74"/>
  <c r="C64" i="74"/>
  <c r="C66" i="74"/>
  <c r="C67" i="74"/>
  <c r="C68" i="74"/>
  <c r="C69" i="74"/>
  <c r="C70" i="74"/>
  <c r="C71" i="74"/>
  <c r="C72" i="74"/>
  <c r="C73" i="74"/>
  <c r="C74" i="74"/>
  <c r="C75" i="74"/>
  <c r="C76" i="74"/>
  <c r="C77" i="74"/>
  <c r="C78" i="74"/>
  <c r="C79" i="74"/>
  <c r="C80" i="74"/>
  <c r="C81" i="74"/>
  <c r="C82" i="74"/>
  <c r="C83" i="74"/>
  <c r="C84" i="74"/>
  <c r="C85" i="74"/>
  <c r="C86" i="74"/>
  <c r="C87" i="74"/>
  <c r="C88" i="74"/>
  <c r="C89" i="74"/>
  <c r="C90" i="74"/>
  <c r="C91" i="74"/>
  <c r="C92" i="74"/>
  <c r="C93" i="74"/>
  <c r="C94" i="74"/>
  <c r="C95" i="74"/>
  <c r="C96" i="74"/>
  <c r="C97" i="74"/>
  <c r="C98" i="74"/>
  <c r="C99" i="74"/>
  <c r="C100" i="74"/>
  <c r="C101" i="74"/>
  <c r="C102" i="74"/>
  <c r="C103" i="74"/>
  <c r="C104" i="74"/>
  <c r="C105" i="74"/>
  <c r="C106" i="74"/>
  <c r="C107" i="74"/>
  <c r="C108" i="74"/>
  <c r="C109" i="74"/>
  <c r="C110" i="74"/>
  <c r="C111" i="74"/>
  <c r="C112" i="74"/>
  <c r="C113" i="74"/>
  <c r="C114" i="74"/>
  <c r="C115" i="74"/>
  <c r="C116" i="74"/>
  <c r="C117" i="74"/>
  <c r="C118" i="74"/>
  <c r="C119" i="74"/>
  <c r="C120" i="74"/>
  <c r="C121" i="74"/>
  <c r="C122" i="74"/>
  <c r="C123" i="74"/>
  <c r="C124" i="74"/>
  <c r="C125" i="74"/>
  <c r="C126" i="74"/>
  <c r="C127" i="74"/>
  <c r="C128" i="74"/>
  <c r="C129" i="74"/>
  <c r="C130" i="74"/>
  <c r="C131" i="74"/>
  <c r="C132" i="74"/>
  <c r="C133" i="74"/>
  <c r="C134" i="74"/>
  <c r="C135" i="74"/>
  <c r="C136" i="74"/>
  <c r="C137" i="74"/>
  <c r="C138" i="74"/>
  <c r="C139" i="74"/>
  <c r="C140" i="74"/>
  <c r="C141" i="74"/>
  <c r="C142" i="74"/>
  <c r="C143" i="74"/>
  <c r="C144" i="74"/>
  <c r="C145" i="74"/>
  <c r="C146" i="74"/>
  <c r="C147" i="74"/>
  <c r="C4" i="74"/>
  <c r="R3" i="75"/>
  <c r="D9" i="75" s="1"/>
  <c r="R4" i="75"/>
  <c r="D14" i="75" s="1"/>
  <c r="R5" i="75"/>
  <c r="R6" i="75"/>
  <c r="D4" i="75" s="1"/>
  <c r="R7" i="75"/>
  <c r="R8" i="75"/>
  <c r="D8" i="75" s="1"/>
  <c r="R9" i="75"/>
  <c r="R10" i="75"/>
  <c r="R11" i="75"/>
  <c r="R12" i="75"/>
  <c r="R13" i="75"/>
  <c r="R14" i="75"/>
  <c r="R15" i="75"/>
  <c r="R16" i="75"/>
  <c r="R17" i="75"/>
  <c r="D11" i="75" s="1"/>
  <c r="R18" i="75"/>
  <c r="D3" i="75" s="1"/>
  <c r="D15" i="75" s="1"/>
  <c r="R19" i="75"/>
  <c r="R20" i="75"/>
  <c r="D12" i="75" s="1"/>
  <c r="R21" i="75"/>
  <c r="R22" i="75"/>
  <c r="D13" i="75" s="1"/>
  <c r="R2" i="75"/>
  <c r="AB3" i="74" l="1"/>
  <c r="E99" i="74"/>
  <c r="E147" i="74" s="1"/>
  <c r="B99" i="74"/>
  <c r="B147" i="74" s="1"/>
  <c r="A99" i="74"/>
  <c r="E98" i="74"/>
  <c r="E146" i="74" s="1"/>
  <c r="B98" i="74"/>
  <c r="B146" i="74" s="1"/>
  <c r="A98" i="74"/>
  <c r="E97" i="74"/>
  <c r="E145" i="74" s="1"/>
  <c r="B97" i="74"/>
  <c r="B145" i="74" s="1"/>
  <c r="A97" i="74"/>
  <c r="E96" i="74"/>
  <c r="E144" i="74" s="1"/>
  <c r="B96" i="74"/>
  <c r="B144" i="74" s="1"/>
  <c r="A96" i="74"/>
  <c r="E95" i="74"/>
  <c r="E143" i="74" s="1"/>
  <c r="B95" i="74"/>
  <c r="B143" i="74" s="1"/>
  <c r="A95" i="74"/>
  <c r="E94" i="74"/>
  <c r="E142" i="74" s="1"/>
  <c r="B94" i="74"/>
  <c r="B142" i="74" s="1"/>
  <c r="A94" i="74"/>
  <c r="E93" i="74"/>
  <c r="E141" i="74" s="1"/>
  <c r="B93" i="74"/>
  <c r="B141" i="74" s="1"/>
  <c r="A93" i="74"/>
  <c r="E92" i="74"/>
  <c r="E140" i="74" s="1"/>
  <c r="B92" i="74"/>
  <c r="B140" i="74" s="1"/>
  <c r="A92" i="74"/>
  <c r="E91" i="74"/>
  <c r="E139" i="74" s="1"/>
  <c r="B91" i="74"/>
  <c r="B139" i="74" s="1"/>
  <c r="A91" i="74"/>
  <c r="E90" i="74"/>
  <c r="E138" i="74" s="1"/>
  <c r="B90" i="74"/>
  <c r="B138" i="74" s="1"/>
  <c r="A90" i="74"/>
  <c r="E89" i="74"/>
  <c r="E137" i="74" s="1"/>
  <c r="B89" i="74"/>
  <c r="B137" i="74" s="1"/>
  <c r="A89" i="74"/>
  <c r="E88" i="74"/>
  <c r="E136" i="74" s="1"/>
  <c r="B88" i="74"/>
  <c r="B136" i="74" s="1"/>
  <c r="A88" i="74"/>
  <c r="E87" i="74"/>
  <c r="E135" i="74" s="1"/>
  <c r="B87" i="74"/>
  <c r="B135" i="74" s="1"/>
  <c r="A87" i="74"/>
  <c r="E86" i="74"/>
  <c r="E134" i="74" s="1"/>
  <c r="B86" i="74"/>
  <c r="B134" i="74" s="1"/>
  <c r="A86" i="74"/>
  <c r="E85" i="74"/>
  <c r="E133" i="74" s="1"/>
  <c r="B85" i="74"/>
  <c r="B133" i="74" s="1"/>
  <c r="A85" i="74"/>
  <c r="E84" i="74"/>
  <c r="E132" i="74" s="1"/>
  <c r="B84" i="74"/>
  <c r="B132" i="74" s="1"/>
  <c r="A84" i="74"/>
  <c r="E83" i="74"/>
  <c r="E131" i="74" s="1"/>
  <c r="B83" i="74"/>
  <c r="B131" i="74" s="1"/>
  <c r="A83" i="74"/>
  <c r="E82" i="74"/>
  <c r="E130" i="74" s="1"/>
  <c r="B82" i="74"/>
  <c r="B130" i="74" s="1"/>
  <c r="A82" i="74"/>
  <c r="E81" i="74"/>
  <c r="E129" i="74" s="1"/>
  <c r="B81" i="74"/>
  <c r="B129" i="74" s="1"/>
  <c r="A81" i="74"/>
  <c r="E80" i="74"/>
  <c r="E128" i="74" s="1"/>
  <c r="B80" i="74"/>
  <c r="B128" i="74" s="1"/>
  <c r="A80" i="74"/>
  <c r="E79" i="74"/>
  <c r="E127" i="74" s="1"/>
  <c r="B79" i="74"/>
  <c r="B127" i="74" s="1"/>
  <c r="A79" i="74"/>
  <c r="E78" i="74"/>
  <c r="E126" i="74" s="1"/>
  <c r="B78" i="74"/>
  <c r="B126" i="74" s="1"/>
  <c r="A78" i="74"/>
  <c r="E77" i="74"/>
  <c r="E125" i="74" s="1"/>
  <c r="B77" i="74"/>
  <c r="B125" i="74" s="1"/>
  <c r="A77" i="74"/>
  <c r="E76" i="74"/>
  <c r="E124" i="74" s="1"/>
  <c r="B76" i="74"/>
  <c r="B124" i="74" s="1"/>
  <c r="A76" i="74"/>
  <c r="E75" i="74"/>
  <c r="E123" i="74" s="1"/>
  <c r="B75" i="74"/>
  <c r="B123" i="74" s="1"/>
  <c r="A75" i="74"/>
  <c r="E74" i="74"/>
  <c r="E122" i="74" s="1"/>
  <c r="B74" i="74"/>
  <c r="B122" i="74" s="1"/>
  <c r="A74" i="74"/>
  <c r="E73" i="74"/>
  <c r="E121" i="74" s="1"/>
  <c r="B73" i="74"/>
  <c r="B121" i="74" s="1"/>
  <c r="A73" i="74"/>
  <c r="E72" i="74"/>
  <c r="E120" i="74" s="1"/>
  <c r="B72" i="74"/>
  <c r="B120" i="74" s="1"/>
  <c r="A72" i="74"/>
  <c r="E71" i="74"/>
  <c r="E119" i="74" s="1"/>
  <c r="B71" i="74"/>
  <c r="B119" i="74" s="1"/>
  <c r="A71" i="74"/>
  <c r="E70" i="74"/>
  <c r="E118" i="74" s="1"/>
  <c r="B70" i="74"/>
  <c r="B118" i="74" s="1"/>
  <c r="A70" i="74"/>
  <c r="E69" i="74"/>
  <c r="E117" i="74" s="1"/>
  <c r="B69" i="74"/>
  <c r="B117" i="74" s="1"/>
  <c r="A69" i="74"/>
  <c r="E68" i="74"/>
  <c r="E116" i="74" s="1"/>
  <c r="B68" i="74"/>
  <c r="B116" i="74" s="1"/>
  <c r="A68" i="74"/>
  <c r="E67" i="74"/>
  <c r="E115" i="74" s="1"/>
  <c r="B67" i="74"/>
  <c r="B115" i="74" s="1"/>
  <c r="A67" i="74"/>
  <c r="E66" i="74"/>
  <c r="E114" i="74" s="1"/>
  <c r="B66" i="74"/>
  <c r="B114" i="74" s="1"/>
  <c r="A66" i="74"/>
  <c r="B65" i="74"/>
  <c r="B113" i="74" s="1"/>
  <c r="A65" i="74"/>
  <c r="E64" i="74"/>
  <c r="E112" i="74" s="1"/>
  <c r="B64" i="74"/>
  <c r="B112" i="74" s="1"/>
  <c r="A64" i="74"/>
  <c r="E63" i="74"/>
  <c r="E111" i="74" s="1"/>
  <c r="B63" i="74"/>
  <c r="B111" i="74" s="1"/>
  <c r="A63" i="74"/>
  <c r="E62" i="74"/>
  <c r="E110" i="74" s="1"/>
  <c r="B62" i="74"/>
  <c r="B110" i="74" s="1"/>
  <c r="A62" i="74"/>
  <c r="E61" i="74"/>
  <c r="E109" i="74" s="1"/>
  <c r="B61" i="74"/>
  <c r="B109" i="74" s="1"/>
  <c r="A61" i="74"/>
  <c r="E60" i="74"/>
  <c r="E108" i="74" s="1"/>
  <c r="B60" i="74"/>
  <c r="B108" i="74" s="1"/>
  <c r="A60" i="74"/>
  <c r="E59" i="74"/>
  <c r="E107" i="74" s="1"/>
  <c r="B59" i="74"/>
  <c r="B107" i="74" s="1"/>
  <c r="A59" i="74"/>
  <c r="E58" i="74"/>
  <c r="E106" i="74" s="1"/>
  <c r="B58" i="74"/>
  <c r="B106" i="74" s="1"/>
  <c r="A58" i="74"/>
  <c r="E57" i="74"/>
  <c r="E105" i="74" s="1"/>
  <c r="B57" i="74"/>
  <c r="B105" i="74" s="1"/>
  <c r="A57" i="74"/>
  <c r="E56" i="74"/>
  <c r="E104" i="74" s="1"/>
  <c r="B56" i="74"/>
  <c r="B104" i="74" s="1"/>
  <c r="A56" i="74"/>
  <c r="E55" i="74"/>
  <c r="E103" i="74" s="1"/>
  <c r="B55" i="74"/>
  <c r="B103" i="74" s="1"/>
  <c r="A55" i="74"/>
  <c r="E54" i="74"/>
  <c r="E102" i="74" s="1"/>
  <c r="B54" i="74"/>
  <c r="B102" i="74" s="1"/>
  <c r="A54" i="74"/>
  <c r="E53" i="74"/>
  <c r="E101" i="74" s="1"/>
  <c r="B53" i="74"/>
  <c r="B101" i="74" s="1"/>
  <c r="A53" i="74"/>
  <c r="E52" i="74"/>
  <c r="E100" i="74" s="1"/>
  <c r="B52" i="74"/>
  <c r="B100" i="74" s="1"/>
  <c r="A52" i="74"/>
  <c r="S7" i="74"/>
  <c r="A136" i="74" l="1"/>
  <c r="A139" i="74"/>
  <c r="A142" i="74"/>
  <c r="A145" i="74"/>
  <c r="A109" i="74"/>
  <c r="A112" i="74"/>
  <c r="S55" i="74"/>
  <c r="A115" i="74"/>
  <c r="A118" i="74"/>
  <c r="A121" i="74"/>
  <c r="A106" i="74"/>
  <c r="A127" i="74"/>
  <c r="A100" i="74"/>
  <c r="A130" i="74"/>
  <c r="A147" i="74"/>
  <c r="A131" i="74"/>
  <c r="A113" i="74"/>
  <c r="A101" i="74"/>
  <c r="A108" i="74"/>
  <c r="A110" i="74"/>
  <c r="A122" i="74"/>
  <c r="A102" i="74"/>
  <c r="A107" i="74"/>
  <c r="A116" i="74"/>
  <c r="A117" i="74"/>
  <c r="A128" i="74"/>
  <c r="A140" i="74"/>
  <c r="A138" i="74"/>
  <c r="A143" i="74"/>
  <c r="A104" i="74"/>
  <c r="A105" i="74"/>
  <c r="A114" i="74"/>
  <c r="A123" i="74"/>
  <c r="A134" i="74"/>
  <c r="A146" i="74"/>
  <c r="A141" i="74"/>
  <c r="A144" i="74"/>
  <c r="A120" i="74"/>
  <c r="A129" i="74"/>
  <c r="A111" i="74"/>
  <c r="A126" i="74"/>
  <c r="A119" i="74"/>
  <c r="A125" i="74"/>
  <c r="A132" i="74"/>
  <c r="A137" i="74"/>
  <c r="A135" i="74"/>
  <c r="A133" i="74"/>
  <c r="A124" i="74"/>
  <c r="A103" i="74"/>
  <c r="S103" i="74" l="1"/>
  <c r="D53" i="66" l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1" i="66"/>
  <c r="D106" i="66"/>
  <c r="D154" i="66" s="1"/>
  <c r="D202" i="66" s="1"/>
  <c r="D250" i="66" s="1"/>
  <c r="D113" i="66"/>
  <c r="D161" i="66" s="1"/>
  <c r="D209" i="66" s="1"/>
  <c r="D257" i="66" s="1"/>
  <c r="D114" i="66"/>
  <c r="D162" i="66" s="1"/>
  <c r="D210" i="66" s="1"/>
  <c r="D258" i="66" s="1"/>
  <c r="D126" i="66"/>
  <c r="D174" i="66" s="1"/>
  <c r="D222" i="66" s="1"/>
  <c r="D270" i="66" s="1"/>
  <c r="D129" i="66"/>
  <c r="D177" i="66" s="1"/>
  <c r="D225" i="66" s="1"/>
  <c r="D273" i="66" s="1"/>
  <c r="D132" i="66"/>
  <c r="D180" i="66" s="1"/>
  <c r="D228" i="66" s="1"/>
  <c r="D276" i="66" s="1"/>
  <c r="D138" i="66"/>
  <c r="D186" i="66" s="1"/>
  <c r="D234" i="66" s="1"/>
  <c r="D282" i="66" s="1"/>
  <c r="D141" i="66"/>
  <c r="D189" i="66" s="1"/>
  <c r="D237" i="66" s="1"/>
  <c r="D285" i="66" s="1"/>
  <c r="D149" i="66"/>
  <c r="D197" i="66" s="1"/>
  <c r="D24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56" i="17" l="1"/>
  <c r="E56" i="17"/>
  <c r="C60" i="26"/>
  <c r="D60" i="26" s="1"/>
  <c r="B61" i="26"/>
  <c r="D46" i="17" l="1"/>
  <c r="D56" i="17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E17" i="34" s="1"/>
  <c r="A3" i="34"/>
  <c r="C3" i="34" s="1"/>
  <c r="D3" i="34" s="1"/>
  <c r="E3" i="34" s="1"/>
  <c r="A4" i="34"/>
  <c r="C189" i="38" s="1"/>
  <c r="A5" i="34"/>
  <c r="C190" i="38" s="1"/>
  <c r="A6" i="34"/>
  <c r="C191" i="38" s="1"/>
  <c r="A7" i="34"/>
  <c r="C7" i="34" s="1"/>
  <c r="A8" i="34"/>
  <c r="C8" i="34" s="1"/>
  <c r="D8" i="34" s="1"/>
  <c r="E8" i="34" s="1"/>
  <c r="A9" i="34"/>
  <c r="C9" i="34" s="1"/>
  <c r="A10" i="34"/>
  <c r="A11" i="34"/>
  <c r="A12" i="34"/>
  <c r="C12" i="34" s="1"/>
  <c r="D12" i="34" s="1"/>
  <c r="E12" i="34" s="1"/>
  <c r="A13" i="34"/>
  <c r="C13" i="34" s="1"/>
  <c r="D13" i="34" s="1"/>
  <c r="E13" i="34" s="1"/>
  <c r="A14" i="34"/>
  <c r="C14" i="34" s="1"/>
  <c r="A15" i="34"/>
  <c r="C15" i="34" s="1"/>
  <c r="A16" i="34"/>
  <c r="C201" i="38" s="1"/>
  <c r="B26" i="6"/>
  <c r="D9" i="34" l="1"/>
  <c r="E9" i="34" s="1"/>
  <c r="D7" i="34"/>
  <c r="E7" i="34" s="1"/>
  <c r="D15" i="34"/>
  <c r="C11" i="34"/>
  <c r="D11" i="34" s="1"/>
  <c r="C10" i="34"/>
  <c r="D10" i="34" s="1"/>
  <c r="C198" i="38"/>
  <c r="C197" i="38"/>
  <c r="C196" i="38"/>
  <c r="C200" i="38"/>
  <c r="C199" i="38"/>
  <c r="C16" i="34"/>
  <c r="D16" i="34" s="1"/>
  <c r="E16" i="34" s="1"/>
  <c r="C195" i="38"/>
  <c r="C6" i="34"/>
  <c r="D6" i="34" s="1"/>
  <c r="E6" i="34" s="1"/>
  <c r="C194" i="38"/>
  <c r="C5" i="34"/>
  <c r="D5" i="34" s="1"/>
  <c r="E5" i="34" s="1"/>
  <c r="C193" i="38"/>
  <c r="C4" i="34"/>
  <c r="D4" i="34" s="1"/>
  <c r="E4" i="34" s="1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10" i="34" l="1"/>
  <c r="E11" i="34"/>
  <c r="E15" i="34"/>
  <c r="E14" i="34" s="1"/>
  <c r="D14" i="34"/>
  <c r="A228" i="66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D20" i="1" a="1"/>
  <c r="D20" i="1" s="1"/>
  <c r="D326" i="38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D117" i="38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C423" i="37"/>
  <c r="C423" i="41" s="1"/>
  <c r="C423" i="58"/>
  <c r="D204" i="38"/>
  <c r="D109" i="38"/>
  <c r="D206" i="38"/>
  <c r="D208" i="38"/>
  <c r="D116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7" i="38"/>
  <c r="D158" i="38"/>
  <c r="D170" i="38"/>
  <c r="D248" i="38"/>
  <c r="D250" i="38"/>
  <c r="D251" i="38"/>
  <c r="D255" i="38"/>
  <c r="D258" i="38"/>
  <c r="D262" i="38"/>
  <c r="C16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8" i="38"/>
  <c r="D319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5" i="38"/>
  <c r="D379" i="38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J1" i="58"/>
  <c r="D492" i="58"/>
  <c r="D490" i="58"/>
  <c r="D491" i="58"/>
  <c r="D4" i="17"/>
  <c r="C15" i="8"/>
  <c r="C15" i="57"/>
  <c r="C17" i="57"/>
  <c r="C18" i="57"/>
  <c r="C21" i="57"/>
  <c r="C23" i="57"/>
  <c r="C24" i="57"/>
  <c r="C25" i="57"/>
  <c r="C26" i="57"/>
  <c r="C27" i="57"/>
  <c r="C55" i="57"/>
  <c r="C56" i="57"/>
  <c r="C59" i="57"/>
  <c r="C61" i="57"/>
  <c r="C62" i="57"/>
  <c r="C63" i="57"/>
  <c r="C64" i="57"/>
  <c r="C65" i="57"/>
  <c r="C76" i="22"/>
  <c r="C75" i="22"/>
  <c r="C72" i="22"/>
  <c r="C70" i="22"/>
  <c r="C69" i="22"/>
  <c r="C68" i="22"/>
  <c r="C67" i="22"/>
  <c r="C66" i="22"/>
  <c r="C64" i="22"/>
  <c r="C63" i="22"/>
  <c r="C30" i="22"/>
  <c r="C28" i="22"/>
  <c r="C27" i="22"/>
  <c r="C26" i="22"/>
  <c r="C25" i="22"/>
  <c r="C24" i="22"/>
  <c r="C22" i="22"/>
  <c r="C21" i="22"/>
  <c r="C18" i="22"/>
  <c r="A52" i="66"/>
  <c r="E52" i="66"/>
  <c r="A53" i="66"/>
  <c r="A101" i="66" s="1"/>
  <c r="E53" i="66"/>
  <c r="E54" i="66"/>
  <c r="A54" i="66"/>
  <c r="A102" i="66" s="1"/>
  <c r="E198" i="66"/>
  <c r="A198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60" i="66"/>
  <c r="E62" i="66"/>
  <c r="E63" i="66"/>
  <c r="A63" i="66"/>
  <c r="E64" i="66"/>
  <c r="A64" i="66"/>
  <c r="A65" i="66"/>
  <c r="E66" i="66"/>
  <c r="A66" i="66"/>
  <c r="A114" i="66" s="1"/>
  <c r="A67" i="66"/>
  <c r="A68" i="66"/>
  <c r="E69" i="66"/>
  <c r="A69" i="66"/>
  <c r="A117" i="66" s="1"/>
  <c r="E70" i="66"/>
  <c r="A70" i="66"/>
  <c r="A71" i="66"/>
  <c r="E72" i="66"/>
  <c r="A72" i="66"/>
  <c r="A120" i="66" s="1"/>
  <c r="A73" i="66"/>
  <c r="A74" i="66"/>
  <c r="A122" i="66" s="1"/>
  <c r="E75" i="66"/>
  <c r="A75" i="66"/>
  <c r="E76" i="66"/>
  <c r="A76" i="66"/>
  <c r="A77" i="66"/>
  <c r="A125" i="66" s="1"/>
  <c r="E78" i="66"/>
  <c r="A78" i="66"/>
  <c r="A126" i="66" s="1"/>
  <c r="A79" i="66"/>
  <c r="A80" i="66"/>
  <c r="E81" i="66"/>
  <c r="A81" i="66"/>
  <c r="E82" i="66"/>
  <c r="A82" i="66"/>
  <c r="A130" i="66" s="1"/>
  <c r="A83" i="66"/>
  <c r="A131" i="66" s="1"/>
  <c r="E86" i="66"/>
  <c r="A86" i="66"/>
  <c r="A134" i="66" s="1"/>
  <c r="A87" i="66"/>
  <c r="A88" i="66"/>
  <c r="E89" i="66"/>
  <c r="A89" i="66"/>
  <c r="A137" i="66" s="1"/>
  <c r="E90" i="66"/>
  <c r="A90" i="66"/>
  <c r="A91" i="66"/>
  <c r="A139" i="66" s="1"/>
  <c r="E92" i="66"/>
  <c r="A92" i="66"/>
  <c r="A140" i="66" s="1"/>
  <c r="A93" i="66"/>
  <c r="A94" i="66"/>
  <c r="E95" i="66"/>
  <c r="A95" i="66"/>
  <c r="E96" i="66"/>
  <c r="A96" i="66"/>
  <c r="A144" i="66" s="1"/>
  <c r="A97" i="66"/>
  <c r="E98" i="66"/>
  <c r="A98" i="66"/>
  <c r="A146" i="66" s="1"/>
  <c r="A99" i="66"/>
  <c r="E122" i="66"/>
  <c r="E196" i="66"/>
  <c r="A196" i="66"/>
  <c r="A244" i="66" s="1"/>
  <c r="E197" i="66"/>
  <c r="A197" i="66"/>
  <c r="A245" i="66" s="1"/>
  <c r="A200" i="66"/>
  <c r="E203" i="66"/>
  <c r="A203" i="66"/>
  <c r="A251" i="66" s="1"/>
  <c r="A204" i="66"/>
  <c r="A205" i="66"/>
  <c r="A253" i="66" s="1"/>
  <c r="E206" i="66"/>
  <c r="A206" i="66"/>
  <c r="E207" i="66"/>
  <c r="A207" i="66"/>
  <c r="A208" i="66"/>
  <c r="A256" i="66" s="1"/>
  <c r="E209" i="66"/>
  <c r="A209" i="66"/>
  <c r="A257" i="66" s="1"/>
  <c r="A210" i="66"/>
  <c r="A211" i="66"/>
  <c r="E212" i="66"/>
  <c r="A212" i="66"/>
  <c r="E213" i="66"/>
  <c r="A213" i="66"/>
  <c r="A261" i="66" s="1"/>
  <c r="A214" i="66"/>
  <c r="E215" i="66"/>
  <c r="A215" i="66"/>
  <c r="A216" i="66"/>
  <c r="A217" i="66"/>
  <c r="E218" i="66"/>
  <c r="A218" i="66"/>
  <c r="E219" i="66"/>
  <c r="A219" i="66"/>
  <c r="A267" i="66" s="1"/>
  <c r="A220" i="66"/>
  <c r="E221" i="66"/>
  <c r="A221" i="66"/>
  <c r="A269" i="66" s="1"/>
  <c r="A222" i="66"/>
  <c r="A223" i="66"/>
  <c r="E224" i="66"/>
  <c r="A224" i="66"/>
  <c r="A272" i="66" s="1"/>
  <c r="E225" i="66"/>
  <c r="A225" i="66"/>
  <c r="A273" i="66" s="1"/>
  <c r="A226" i="66"/>
  <c r="E227" i="66"/>
  <c r="A227" i="66"/>
  <c r="A230" i="66"/>
  <c r="A231" i="66"/>
  <c r="E232" i="66"/>
  <c r="A232" i="66"/>
  <c r="E233" i="66"/>
  <c r="A233" i="66"/>
  <c r="A281" i="66" s="1"/>
  <c r="A234" i="66"/>
  <c r="E235" i="66"/>
  <c r="A235" i="66"/>
  <c r="A236" i="66"/>
  <c r="A237" i="66"/>
  <c r="E238" i="66"/>
  <c r="A238" i="66"/>
  <c r="E239" i="66"/>
  <c r="A239" i="66"/>
  <c r="A287" i="66" s="1"/>
  <c r="A240" i="66"/>
  <c r="E241" i="66"/>
  <c r="A241" i="66"/>
  <c r="A242" i="66"/>
  <c r="A243" i="66"/>
  <c r="E265" i="66"/>
  <c r="E269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H31" i="20"/>
  <c r="G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I4" i="6"/>
  <c r="D50" i="17"/>
  <c r="AB2" i="39"/>
  <c r="D11" i="39"/>
  <c r="K11" i="39"/>
  <c r="G50" i="20"/>
  <c r="D23" i="20"/>
  <c r="D50" i="20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F48" i="26"/>
  <c r="C48" i="26"/>
  <c r="D10" i="17" l="1"/>
  <c r="C4" i="6"/>
  <c r="E243" i="66"/>
  <c r="E237" i="66"/>
  <c r="E231" i="66"/>
  <c r="E223" i="66"/>
  <c r="E217" i="66"/>
  <c r="E211" i="66"/>
  <c r="E205" i="66"/>
  <c r="E118" i="66"/>
  <c r="E94" i="66"/>
  <c r="E88" i="66"/>
  <c r="E80" i="66"/>
  <c r="E74" i="66"/>
  <c r="E68" i="66"/>
  <c r="E61" i="66"/>
  <c r="C17" i="22"/>
  <c r="C29" i="22"/>
  <c r="C71" i="22"/>
  <c r="C60" i="57"/>
  <c r="C22" i="57"/>
  <c r="D185" i="38"/>
  <c r="D2" i="34"/>
  <c r="F4" i="20"/>
  <c r="E242" i="66"/>
  <c r="E236" i="66"/>
  <c r="E230" i="66"/>
  <c r="E222" i="66"/>
  <c r="E216" i="66"/>
  <c r="E210" i="66"/>
  <c r="E204" i="66"/>
  <c r="E99" i="66"/>
  <c r="E93" i="66"/>
  <c r="E87" i="66"/>
  <c r="E79" i="66"/>
  <c r="E73" i="66"/>
  <c r="E67" i="66"/>
  <c r="E59" i="66"/>
  <c r="C19" i="22"/>
  <c r="C31" i="22"/>
  <c r="C73" i="22"/>
  <c r="C58" i="57"/>
  <c r="C20" i="57"/>
  <c r="D15" i="17"/>
  <c r="Y2" i="20"/>
  <c r="C22" i="53"/>
  <c r="D167" i="38"/>
  <c r="D67" i="38"/>
  <c r="F11" i="32"/>
  <c r="O4" i="20"/>
  <c r="F31" i="20"/>
  <c r="E202" i="66"/>
  <c r="E55" i="66"/>
  <c r="C20" i="22"/>
  <c r="C62" i="22"/>
  <c r="C74" i="22"/>
  <c r="C57" i="57"/>
  <c r="C19" i="57"/>
  <c r="D396" i="38"/>
  <c r="C19" i="53"/>
  <c r="D164" i="38"/>
  <c r="H4" i="20"/>
  <c r="C11" i="32"/>
  <c r="G23" i="20"/>
  <c r="O31" i="20"/>
  <c r="E240" i="66"/>
  <c r="E234" i="66"/>
  <c r="E226" i="66"/>
  <c r="E220" i="66"/>
  <c r="E214" i="66"/>
  <c r="E208" i="66"/>
  <c r="G208" i="66" s="1"/>
  <c r="E200" i="66"/>
  <c r="E97" i="66"/>
  <c r="E91" i="66"/>
  <c r="E83" i="66"/>
  <c r="E77" i="66"/>
  <c r="E71" i="66"/>
  <c r="E65" i="66"/>
  <c r="C23" i="22"/>
  <c r="C65" i="22"/>
  <c r="C66" i="57"/>
  <c r="C54" i="57"/>
  <c r="C16" i="57"/>
  <c r="D374" i="38"/>
  <c r="D358" i="38"/>
  <c r="D316" i="38"/>
  <c r="D261" i="38"/>
  <c r="D156" i="38"/>
  <c r="F48" i="74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AD1" i="66"/>
  <c r="P38" i="70"/>
  <c r="AD3" i="66"/>
  <c r="P37" i="70"/>
  <c r="AD2" i="66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S55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C247" i="66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6" i="70"/>
  <c r="Q38" i="70"/>
  <c r="Q37" i="70"/>
  <c r="D7" i="17" l="1"/>
  <c r="D8" i="17"/>
  <c r="D38" i="74"/>
  <c r="P38" i="74" s="1"/>
  <c r="R38" i="74" s="1"/>
  <c r="D18" i="17"/>
  <c r="D16" i="17"/>
  <c r="D13" i="17"/>
  <c r="D12" i="17"/>
  <c r="D5" i="17"/>
  <c r="D17" i="17"/>
  <c r="D86" i="74"/>
  <c r="P86" i="74" s="1"/>
  <c r="V86" i="74" s="1"/>
  <c r="I74" i="74"/>
  <c r="I57" i="74"/>
  <c r="I90" i="74"/>
  <c r="I76" i="74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7" i="74"/>
  <c r="I9" i="74"/>
  <c r="I10" i="74"/>
  <c r="I41" i="74"/>
  <c r="D134" i="74"/>
  <c r="P134" i="74" s="1"/>
  <c r="R51" i="74"/>
  <c r="V51" i="74"/>
  <c r="I80" i="74"/>
  <c r="I63" i="74"/>
  <c r="I96" i="74"/>
  <c r="I82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7" i="74"/>
  <c r="I21" i="74"/>
  <c r="I34" i="74"/>
  <c r="I22" i="74"/>
  <c r="I60" i="74"/>
  <c r="I83" i="74"/>
  <c r="I66" i="74"/>
  <c r="I99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25" i="74"/>
  <c r="I27" i="74"/>
  <c r="I5" i="74"/>
  <c r="I23" i="74"/>
  <c r="V107" i="74"/>
  <c r="R107" i="74"/>
  <c r="V25" i="74"/>
  <c r="R25" i="74"/>
  <c r="I86" i="74"/>
  <c r="I69" i="74"/>
  <c r="I59" i="74"/>
  <c r="I56" i="74"/>
  <c r="I109" i="74"/>
  <c r="R118" i="74"/>
  <c r="V118" i="74"/>
  <c r="V130" i="74"/>
  <c r="R130" i="74"/>
  <c r="V88" i="74"/>
  <c r="R88" i="74"/>
  <c r="V43" i="74"/>
  <c r="R43" i="74"/>
  <c r="R18" i="74"/>
  <c r="V18" i="74"/>
  <c r="I8" i="74"/>
  <c r="I33" i="74"/>
  <c r="I13" i="74"/>
  <c r="I47" i="74"/>
  <c r="I72" i="74"/>
  <c r="I58" i="74"/>
  <c r="I100" i="74"/>
  <c r="V101" i="74"/>
  <c r="R101" i="74"/>
  <c r="V99" i="74"/>
  <c r="R99" i="74"/>
  <c r="V5" i="74"/>
  <c r="R5" i="74"/>
  <c r="R24" i="74"/>
  <c r="V24" i="74"/>
  <c r="I14" i="74"/>
  <c r="I39" i="74"/>
  <c r="I43" i="74"/>
  <c r="I12" i="74"/>
  <c r="I79" i="74"/>
  <c r="R110" i="74"/>
  <c r="V110" i="74"/>
  <c r="I6" i="74"/>
  <c r="I89" i="74"/>
  <c r="G75" i="74"/>
  <c r="I75" i="74"/>
  <c r="I55" i="74"/>
  <c r="I88" i="74"/>
  <c r="I133" i="74"/>
  <c r="I117" i="74"/>
  <c r="R100" i="74"/>
  <c r="V100" i="74"/>
  <c r="R66" i="74"/>
  <c r="V66" i="74"/>
  <c r="R91" i="74"/>
  <c r="V91" i="74"/>
  <c r="R11" i="74"/>
  <c r="V11" i="74"/>
  <c r="I45" i="74"/>
  <c r="I4" i="74"/>
  <c r="I18" i="74"/>
  <c r="V61" i="74"/>
  <c r="R61" i="74"/>
  <c r="I15" i="74"/>
  <c r="I92" i="74"/>
  <c r="I78" i="74"/>
  <c r="I67" i="74"/>
  <c r="I91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26" i="74"/>
  <c r="I51" i="74"/>
  <c r="I16" i="74"/>
  <c r="I24" i="74"/>
  <c r="V87" i="74"/>
  <c r="R87" i="74"/>
  <c r="I95" i="74"/>
  <c r="I81" i="74"/>
  <c r="I62" i="74"/>
  <c r="I94" i="74"/>
  <c r="V114" i="74"/>
  <c r="R114" i="74"/>
  <c r="V59" i="74"/>
  <c r="R59" i="74"/>
  <c r="V75" i="74"/>
  <c r="R75" i="74"/>
  <c r="R14" i="74"/>
  <c r="V14" i="74"/>
  <c r="V39" i="74"/>
  <c r="R39" i="74"/>
  <c r="I32" i="74"/>
  <c r="I37" i="74"/>
  <c r="I40" i="74"/>
  <c r="I30" i="74"/>
  <c r="I93" i="74"/>
  <c r="I137" i="74"/>
  <c r="V70" i="74"/>
  <c r="R70" i="74"/>
  <c r="I52" i="74"/>
  <c r="I98" i="74"/>
  <c r="I84" i="74"/>
  <c r="I61" i="74"/>
  <c r="I97" i="74"/>
  <c r="G97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38" i="74"/>
  <c r="I19" i="74"/>
  <c r="I29" i="74"/>
  <c r="I36" i="74"/>
  <c r="V121" i="74"/>
  <c r="R121" i="74"/>
  <c r="I35" i="74"/>
  <c r="I64" i="74"/>
  <c r="G64" i="74"/>
  <c r="I53" i="74"/>
  <c r="I65" i="74"/>
  <c r="G70" i="74"/>
  <c r="I70" i="74"/>
  <c r="I101" i="74"/>
  <c r="V143" i="74"/>
  <c r="R143" i="74"/>
  <c r="R63" i="74"/>
  <c r="V63" i="74"/>
  <c r="V95" i="74"/>
  <c r="R95" i="74"/>
  <c r="R15" i="74"/>
  <c r="V15" i="74"/>
  <c r="I44" i="74"/>
  <c r="I49" i="74"/>
  <c r="I28" i="74"/>
  <c r="I42" i="74"/>
  <c r="I77" i="74"/>
  <c r="R111" i="74"/>
  <c r="V111" i="74"/>
  <c r="I46" i="74"/>
  <c r="I71" i="74"/>
  <c r="I54" i="74"/>
  <c r="I87" i="74"/>
  <c r="I73" i="74"/>
  <c r="R104" i="74"/>
  <c r="V104" i="74"/>
  <c r="R72" i="74"/>
  <c r="V72" i="74"/>
  <c r="V92" i="74"/>
  <c r="R92" i="74"/>
  <c r="R13" i="74"/>
  <c r="V13" i="74"/>
  <c r="V33" i="74"/>
  <c r="R33" i="74"/>
  <c r="I31" i="74"/>
  <c r="I50" i="74"/>
  <c r="I11" i="74"/>
  <c r="I48" i="74"/>
  <c r="R37" i="70"/>
  <c r="R38" i="70"/>
  <c r="R36" i="70"/>
  <c r="E188" i="72"/>
  <c r="E281" i="72"/>
  <c r="E250" i="72"/>
  <c r="E126" i="72"/>
  <c r="X3" i="20"/>
  <c r="E2" i="72"/>
  <c r="E95" i="72"/>
  <c r="E157" i="72"/>
  <c r="E33" i="72"/>
  <c r="C6" i="17"/>
  <c r="D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18" i="74" s="1"/>
  <c r="G171" i="66"/>
  <c r="G27" i="66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C119" i="66"/>
  <c r="I105" i="66"/>
  <c r="I105" i="74" s="1"/>
  <c r="C105" i="66"/>
  <c r="I262" i="66"/>
  <c r="C262" i="66"/>
  <c r="P262" i="66" s="1"/>
  <c r="V262" i="66" s="1"/>
  <c r="I115" i="66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C141" i="66"/>
  <c r="I285" i="66"/>
  <c r="C285" i="66"/>
  <c r="I279" i="66"/>
  <c r="C279" i="66"/>
  <c r="P279" i="66" s="1"/>
  <c r="I136" i="66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C145" i="66"/>
  <c r="I129" i="66"/>
  <c r="I129" i="74" s="1"/>
  <c r="C129" i="66"/>
  <c r="P129" i="66" s="1"/>
  <c r="V129" i="66" s="1"/>
  <c r="I270" i="66"/>
  <c r="I126" i="74" s="1"/>
  <c r="C270" i="66"/>
  <c r="I127" i="66"/>
  <c r="I127" i="74" s="1"/>
  <c r="C127" i="66"/>
  <c r="P127" i="66" s="1"/>
  <c r="V127" i="66" s="1"/>
  <c r="I138" i="66"/>
  <c r="C138" i="66"/>
  <c r="I111" i="66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C124" i="66"/>
  <c r="I284" i="66"/>
  <c r="I140" i="74" s="1"/>
  <c r="C284" i="66"/>
  <c r="P284" i="66" s="1"/>
  <c r="V284" i="66" s="1"/>
  <c r="I108" i="66"/>
  <c r="C108" i="66"/>
  <c r="I142" i="66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23" i="66"/>
  <c r="G123" i="74" s="1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22" i="66"/>
  <c r="G160" i="66"/>
  <c r="G193" i="66"/>
  <c r="G16" i="66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V38" i="74" l="1"/>
  <c r="R86" i="74"/>
  <c r="I141" i="74"/>
  <c r="I124" i="74"/>
  <c r="I136" i="74"/>
  <c r="G145" i="74"/>
  <c r="G16" i="74"/>
  <c r="I111" i="74"/>
  <c r="I115" i="74"/>
  <c r="G27" i="74"/>
  <c r="I142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5" i="72" a="1"/>
  <c r="D95" i="72" s="1"/>
  <c r="D96" i="72" s="1" a="1"/>
  <c r="D96" i="72" s="1"/>
  <c r="D97" i="72" s="1" a="1"/>
  <c r="D97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8" i="72" l="1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Z7" i="20"/>
  <c r="P18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271" i="66"/>
  <c r="N67" i="66"/>
  <c r="N67" i="74" s="1"/>
  <c r="N223" i="66"/>
  <c r="N204" i="66"/>
  <c r="N237" i="66"/>
  <c r="N201" i="66"/>
  <c r="N95" i="66"/>
  <c r="N81" i="66"/>
  <c r="N136" i="66"/>
  <c r="N52" i="66"/>
  <c r="N52" i="74" s="1"/>
  <c r="N61" i="66"/>
  <c r="N61" i="74" s="1"/>
  <c r="N56" i="66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40" i="66"/>
  <c r="N220" i="66"/>
  <c r="N287" i="66"/>
  <c r="N97" i="66"/>
  <c r="N97" i="74" s="1"/>
  <c r="N118" i="66"/>
  <c r="N72" i="66"/>
  <c r="N62" i="66"/>
  <c r="N58" i="66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06" i="66"/>
  <c r="N177" i="66"/>
  <c r="N151" i="66"/>
  <c r="N284" i="66"/>
  <c r="N103" i="66"/>
  <c r="N249" i="66"/>
  <c r="N247" i="66"/>
  <c r="N176" i="66"/>
  <c r="N250" i="66"/>
  <c r="N178" i="66"/>
  <c r="N139" i="66"/>
  <c r="N139" i="74" s="1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45" i="66"/>
  <c r="N19" i="66"/>
  <c r="N11" i="66"/>
  <c r="N282" i="66"/>
  <c r="N36" i="66"/>
  <c r="N40" i="66"/>
  <c r="N132" i="66"/>
  <c r="N115" i="66"/>
  <c r="N31" i="66"/>
  <c r="N186" i="66"/>
  <c r="N255" i="66"/>
  <c r="N125" i="66"/>
  <c r="N134" i="66"/>
  <c r="N254" i="66"/>
  <c r="N133" i="66"/>
  <c r="N133" i="74" s="1"/>
  <c r="N112" i="66"/>
  <c r="N12" i="66"/>
  <c r="N187" i="66"/>
  <c r="N47" i="66"/>
  <c r="N4" i="66"/>
  <c r="N289" i="66"/>
  <c r="N107" i="66"/>
  <c r="N121" i="66"/>
  <c r="N173" i="66"/>
  <c r="N168" i="66"/>
  <c r="N24" i="66"/>
  <c r="N46" i="66"/>
  <c r="N158" i="66"/>
  <c r="N9" i="66"/>
  <c r="N251" i="66"/>
  <c r="N189" i="66"/>
  <c r="N5" i="66"/>
  <c r="N5" i="74" s="1"/>
  <c r="N181" i="66"/>
  <c r="N258" i="66"/>
  <c r="N142" i="66"/>
  <c r="N193" i="66"/>
  <c r="N84" i="66"/>
  <c r="N149" i="66"/>
  <c r="N155" i="66"/>
  <c r="N48" i="66"/>
  <c r="N280" i="66"/>
  <c r="N105" i="66"/>
  <c r="N285" i="66"/>
  <c r="N85" i="66"/>
  <c r="N85" i="74" s="1"/>
  <c r="N42" i="66"/>
  <c r="N259" i="66"/>
  <c r="N29" i="66"/>
  <c r="N45" i="66"/>
  <c r="N34" i="66"/>
  <c r="N34" i="74" s="1"/>
  <c r="N174" i="66"/>
  <c r="N148" i="66"/>
  <c r="N163" i="66"/>
  <c r="N182" i="66"/>
  <c r="N104" i="66"/>
  <c r="N172" i="66"/>
  <c r="N13" i="66"/>
  <c r="N111" i="66"/>
  <c r="N111" i="74" s="1"/>
  <c r="N252" i="66"/>
  <c r="N38" i="66"/>
  <c r="N274" i="66"/>
  <c r="N33" i="66"/>
  <c r="N245" i="66"/>
  <c r="N30" i="66"/>
  <c r="N30" i="74" s="1"/>
  <c r="N49" i="66"/>
  <c r="N175" i="66"/>
  <c r="N7" i="66"/>
  <c r="N184" i="66"/>
  <c r="N16" i="66"/>
  <c r="N16" i="74" s="1"/>
  <c r="N188" i="66"/>
  <c r="N109" i="66"/>
  <c r="N32" i="66"/>
  <c r="N157" i="66"/>
  <c r="N276" i="66"/>
  <c r="N263" i="66"/>
  <c r="N119" i="66"/>
  <c r="N119" i="74" s="1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00" i="74" s="1"/>
  <c r="N167" i="66"/>
  <c r="N108" i="66"/>
  <c r="N108" i="74" s="1"/>
  <c r="N272" i="66"/>
  <c r="N278" i="66"/>
  <c r="N141" i="66"/>
  <c r="N267" i="66"/>
  <c r="N262" i="66"/>
  <c r="N171" i="66"/>
  <c r="N256" i="66"/>
  <c r="H4" i="66"/>
  <c r="L133" i="66"/>
  <c r="J132" i="66"/>
  <c r="J132" i="74" s="1"/>
  <c r="K181" i="66"/>
  <c r="H133" i="66"/>
  <c r="H229" i="66"/>
  <c r="K37" i="66"/>
  <c r="L181" i="66"/>
  <c r="J85" i="66"/>
  <c r="J228" i="66"/>
  <c r="J133" i="66"/>
  <c r="J133" i="74" s="1"/>
  <c r="J277" i="66"/>
  <c r="J36" i="66"/>
  <c r="K85" i="66"/>
  <c r="L132" i="66"/>
  <c r="H228" i="66"/>
  <c r="J180" i="66"/>
  <c r="K133" i="66"/>
  <c r="K133" i="74" s="1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K132" i="66"/>
  <c r="H277" i="66"/>
  <c r="H85" i="66"/>
  <c r="H85" i="74" s="1"/>
  <c r="H180" i="66"/>
  <c r="K229" i="66"/>
  <c r="K277" i="66"/>
  <c r="L277" i="66"/>
  <c r="H37" i="66"/>
  <c r="J276" i="66"/>
  <c r="J84" i="66"/>
  <c r="J84" i="74" s="1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J73" i="74" s="1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J53" i="66"/>
  <c r="L262" i="66"/>
  <c r="L288" i="66"/>
  <c r="M46" i="66"/>
  <c r="K34" i="66"/>
  <c r="K199" i="66"/>
  <c r="H227" i="66"/>
  <c r="M138" i="66"/>
  <c r="M138" i="74" s="1"/>
  <c r="J291" i="66"/>
  <c r="J138" i="66"/>
  <c r="M126" i="66"/>
  <c r="K281" i="66"/>
  <c r="J121" i="66"/>
  <c r="J207" i="66"/>
  <c r="M16" i="66"/>
  <c r="L23" i="66"/>
  <c r="J89" i="66"/>
  <c r="K41" i="66"/>
  <c r="L69" i="66"/>
  <c r="H50" i="66"/>
  <c r="M201" i="66"/>
  <c r="K179" i="66"/>
  <c r="J266" i="66"/>
  <c r="J59" i="66"/>
  <c r="M230" i="66"/>
  <c r="J212" i="66"/>
  <c r="K287" i="66"/>
  <c r="M18" i="66"/>
  <c r="K52" i="66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K208" i="66"/>
  <c r="J130" i="66"/>
  <c r="M9" i="66"/>
  <c r="H105" i="66"/>
  <c r="L112" i="66"/>
  <c r="L112" i="74" s="1"/>
  <c r="K258" i="66"/>
  <c r="J273" i="66"/>
  <c r="M222" i="66"/>
  <c r="J109" i="66"/>
  <c r="J109" i="74" s="1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198" i="66"/>
  <c r="J19" i="66"/>
  <c r="L260" i="66"/>
  <c r="L89" i="66"/>
  <c r="J163" i="66"/>
  <c r="M209" i="66"/>
  <c r="M245" i="66"/>
  <c r="L14" i="66"/>
  <c r="J76" i="66"/>
  <c r="H52" i="66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H98" i="74" s="1"/>
  <c r="L15" i="66"/>
  <c r="M122" i="66"/>
  <c r="M155" i="66"/>
  <c r="K70" i="66"/>
  <c r="J225" i="66"/>
  <c r="K97" i="66"/>
  <c r="K97" i="74" s="1"/>
  <c r="M33" i="66"/>
  <c r="L149" i="66"/>
  <c r="L107" i="66"/>
  <c r="L196" i="66"/>
  <c r="J226" i="66"/>
  <c r="J240" i="66"/>
  <c r="H139" i="66"/>
  <c r="H279" i="66"/>
  <c r="J281" i="66"/>
  <c r="M64" i="66"/>
  <c r="J81" i="66"/>
  <c r="L67" i="66"/>
  <c r="J261" i="66"/>
  <c r="J136" i="66"/>
  <c r="M183" i="66"/>
  <c r="H93" i="66"/>
  <c r="H57" i="66"/>
  <c r="K160" i="66"/>
  <c r="K44" i="66"/>
  <c r="K81" i="66"/>
  <c r="L70" i="66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M129" i="74" s="1"/>
  <c r="K166" i="66"/>
  <c r="L223" i="66"/>
  <c r="K256" i="66"/>
  <c r="M255" i="66"/>
  <c r="K92" i="66"/>
  <c r="K265" i="66"/>
  <c r="H115" i="66"/>
  <c r="J178" i="66"/>
  <c r="L282" i="66"/>
  <c r="K231" i="66"/>
  <c r="J63" i="66"/>
  <c r="M104" i="66"/>
  <c r="L145" i="66"/>
  <c r="K61" i="66"/>
  <c r="M160" i="66"/>
  <c r="H120" i="66"/>
  <c r="H120" i="74" s="1"/>
  <c r="H287" i="66"/>
  <c r="K241" i="66"/>
  <c r="M208" i="66"/>
  <c r="L269" i="66"/>
  <c r="J215" i="66"/>
  <c r="L52" i="66"/>
  <c r="L52" i="74" s="1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K64" i="74" s="1"/>
  <c r="L241" i="66"/>
  <c r="L121" i="66"/>
  <c r="M217" i="66"/>
  <c r="M226" i="66"/>
  <c r="M258" i="66"/>
  <c r="L117" i="66"/>
  <c r="M176" i="66"/>
  <c r="L157" i="66"/>
  <c r="L54" i="66"/>
  <c r="L54" i="74" s="1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L125" i="74" s="1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J120" i="74" s="1"/>
  <c r="M47" i="66"/>
  <c r="J209" i="66"/>
  <c r="J218" i="66"/>
  <c r="M60" i="66"/>
  <c r="J137" i="66"/>
  <c r="J30" i="66"/>
  <c r="M114" i="66"/>
  <c r="M114" i="74" s="1"/>
  <c r="L88" i="66"/>
  <c r="M263" i="66"/>
  <c r="K137" i="66"/>
  <c r="J206" i="66"/>
  <c r="J251" i="66"/>
  <c r="M220" i="66"/>
  <c r="M70" i="66"/>
  <c r="M273" i="66"/>
  <c r="J92" i="66"/>
  <c r="J5" i="66"/>
  <c r="J5" i="74" s="1"/>
  <c r="K269" i="66"/>
  <c r="K223" i="66"/>
  <c r="M115" i="66"/>
  <c r="J279" i="66"/>
  <c r="L129" i="66"/>
  <c r="K121" i="66"/>
  <c r="K121" i="74" s="1"/>
  <c r="J144" i="66"/>
  <c r="J27" i="66"/>
  <c r="J213" i="66"/>
  <c r="K227" i="66"/>
  <c r="M29" i="66"/>
  <c r="J79" i="66"/>
  <c r="L265" i="66"/>
  <c r="M200" i="66"/>
  <c r="L82" i="66"/>
  <c r="J254" i="66"/>
  <c r="L130" i="66"/>
  <c r="H99" i="66"/>
  <c r="H99" i="74" s="1"/>
  <c r="J95" i="66"/>
  <c r="J289" i="66"/>
  <c r="M157" i="66"/>
  <c r="K253" i="66"/>
  <c r="L19" i="66"/>
  <c r="L258" i="66"/>
  <c r="M24" i="66"/>
  <c r="K98" i="66"/>
  <c r="J208" i="66"/>
  <c r="M254" i="66"/>
  <c r="M241" i="66"/>
  <c r="M163" i="66"/>
  <c r="J156" i="66"/>
  <c r="J267" i="66"/>
  <c r="M52" i="66"/>
  <c r="M52" i="74" s="1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M148" i="66"/>
  <c r="H267" i="66"/>
  <c r="L243" i="66"/>
  <c r="J54" i="66"/>
  <c r="M265" i="66"/>
  <c r="J112" i="66"/>
  <c r="J216" i="66"/>
  <c r="L55" i="66"/>
  <c r="H243" i="66"/>
  <c r="L16" i="66"/>
  <c r="L16" i="74" s="1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J241" i="66"/>
  <c r="J192" i="66"/>
  <c r="J111" i="66"/>
  <c r="J111" i="74" s="1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H16" i="74" s="1"/>
  <c r="L278" i="66"/>
  <c r="H157" i="66"/>
  <c r="L99" i="66"/>
  <c r="L255" i="66"/>
  <c r="K267" i="66"/>
  <c r="K163" i="66"/>
  <c r="K191" i="66"/>
  <c r="L225" i="66"/>
  <c r="K158" i="66"/>
  <c r="K14" i="66"/>
  <c r="K14" i="74" s="1"/>
  <c r="M251" i="66"/>
  <c r="L61" i="66"/>
  <c r="L61" i="74" s="1"/>
  <c r="K89" i="66"/>
  <c r="K89" i="74" s="1"/>
  <c r="L290" i="66"/>
  <c r="H38" i="66"/>
  <c r="H38" i="74" s="1"/>
  <c r="J166" i="66"/>
  <c r="L230" i="66"/>
  <c r="J58" i="66"/>
  <c r="M88" i="66"/>
  <c r="J90" i="66"/>
  <c r="K29" i="66"/>
  <c r="K18" i="66"/>
  <c r="K18" i="74" s="1"/>
  <c r="J175" i="66"/>
  <c r="K235" i="66"/>
  <c r="H146" i="66"/>
  <c r="L79" i="66"/>
  <c r="L79" i="74" s="1"/>
  <c r="L11" i="66"/>
  <c r="M78" i="66"/>
  <c r="L62" i="66"/>
  <c r="H151" i="66"/>
  <c r="L40" i="66"/>
  <c r="H49" i="66"/>
  <c r="L175" i="66"/>
  <c r="M202" i="66"/>
  <c r="M65" i="66"/>
  <c r="M65" i="74" s="1"/>
  <c r="M111" i="66"/>
  <c r="M111" i="74" s="1"/>
  <c r="M256" i="66"/>
  <c r="L217" i="66"/>
  <c r="J51" i="66"/>
  <c r="J176" i="66"/>
  <c r="M32" i="66"/>
  <c r="M177" i="66"/>
  <c r="K104" i="66"/>
  <c r="K275" i="66"/>
  <c r="L148" i="66"/>
  <c r="K242" i="66"/>
  <c r="L30" i="66"/>
  <c r="L30" i="74" s="1"/>
  <c r="M259" i="66"/>
  <c r="L80" i="66"/>
  <c r="M123" i="66"/>
  <c r="L274" i="66"/>
  <c r="L197" i="66"/>
  <c r="K24" i="66"/>
  <c r="K24" i="74" s="1"/>
  <c r="M253" i="66"/>
  <c r="J35" i="66"/>
  <c r="M232" i="66"/>
  <c r="K123" i="66"/>
  <c r="M39" i="66"/>
  <c r="M39" i="74" s="1"/>
  <c r="M224" i="66"/>
  <c r="L32" i="66"/>
  <c r="M22" i="66"/>
  <c r="L151" i="66"/>
  <c r="M121" i="66"/>
  <c r="L65" i="66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H123" i="74" s="1"/>
  <c r="L153" i="66"/>
  <c r="J221" i="66"/>
  <c r="M27" i="66"/>
  <c r="M27" i="74" s="1"/>
  <c r="L103" i="66"/>
  <c r="J194" i="66"/>
  <c r="J55" i="66"/>
  <c r="J55" i="74" s="1"/>
  <c r="J198" i="66"/>
  <c r="L17" i="66"/>
  <c r="L138" i="66"/>
  <c r="L138" i="74" s="1"/>
  <c r="J43" i="66"/>
  <c r="H56" i="66"/>
  <c r="H56" i="74" s="1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K101" i="74" s="1"/>
  <c r="J20" i="66"/>
  <c r="J103" i="66"/>
  <c r="M94" i="66"/>
  <c r="K87" i="66"/>
  <c r="J26" i="66"/>
  <c r="L25" i="66"/>
  <c r="L13" i="66"/>
  <c r="J116" i="66"/>
  <c r="J116" i="74" s="1"/>
  <c r="J288" i="66"/>
  <c r="K114" i="66"/>
  <c r="K114" i="74" s="1"/>
  <c r="J127" i="66"/>
  <c r="J127" i="74" s="1"/>
  <c r="J152" i="66"/>
  <c r="M248" i="66"/>
  <c r="H95" i="66"/>
  <c r="L263" i="66"/>
  <c r="M80" i="66"/>
  <c r="J236" i="66"/>
  <c r="K155" i="66"/>
  <c r="J39" i="66"/>
  <c r="J39" i="74" s="1"/>
  <c r="L170" i="66"/>
  <c r="J235" i="66"/>
  <c r="K187" i="66"/>
  <c r="K139" i="66"/>
  <c r="K139" i="74" s="1"/>
  <c r="L191" i="66"/>
  <c r="K73" i="66"/>
  <c r="K73" i="74" s="1"/>
  <c r="J8" i="66"/>
  <c r="L5" i="66"/>
  <c r="L5" i="74" s="1"/>
  <c r="L287" i="66"/>
  <c r="M62" i="66"/>
  <c r="M62" i="74" s="1"/>
  <c r="L74" i="66"/>
  <c r="L74" i="74" s="1"/>
  <c r="J48" i="66"/>
  <c r="J150" i="66"/>
  <c r="M73" i="66"/>
  <c r="M73" i="74" s="1"/>
  <c r="L33" i="66"/>
  <c r="L33" i="74" s="1"/>
  <c r="L147" i="66"/>
  <c r="L147" i="74" s="1"/>
  <c r="M249" i="66"/>
  <c r="H248" i="66"/>
  <c r="K100" i="66"/>
  <c r="J249" i="66"/>
  <c r="K195" i="66"/>
  <c r="J185" i="66"/>
  <c r="L179" i="66"/>
  <c r="J106" i="66"/>
  <c r="L9" i="66"/>
  <c r="L119" i="66"/>
  <c r="H111" i="66"/>
  <c r="H111" i="74" s="1"/>
  <c r="K62" i="66"/>
  <c r="L254" i="66"/>
  <c r="H134" i="66"/>
  <c r="H134" i="74" s="1"/>
  <c r="K86" i="66"/>
  <c r="K86" i="74" s="1"/>
  <c r="M278" i="66"/>
  <c r="K56" i="66"/>
  <c r="K56" i="74" s="1"/>
  <c r="M262" i="66"/>
  <c r="H271" i="66"/>
  <c r="K82" i="66"/>
  <c r="M58" i="66"/>
  <c r="M58" i="74" s="1"/>
  <c r="H256" i="66"/>
  <c r="L227" i="66"/>
  <c r="L78" i="66"/>
  <c r="L285" i="66"/>
  <c r="H24" i="66"/>
  <c r="M90" i="66"/>
  <c r="L206" i="66"/>
  <c r="H69" i="66"/>
  <c r="H45" i="66"/>
  <c r="H45" i="74" s="1"/>
  <c r="L126" i="66"/>
  <c r="L126" i="74" s="1"/>
  <c r="J49" i="66"/>
  <c r="L18" i="66"/>
  <c r="J161" i="66"/>
  <c r="M268" i="66"/>
  <c r="L127" i="66"/>
  <c r="H237" i="66"/>
  <c r="M45" i="66"/>
  <c r="M45" i="74" s="1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L31" i="74" s="1"/>
  <c r="M53" i="66"/>
  <c r="M53" i="74" s="1"/>
  <c r="L21" i="66"/>
  <c r="L21" i="74" s="1"/>
  <c r="H41" i="66"/>
  <c r="J188" i="66"/>
  <c r="M5" i="66"/>
  <c r="M5" i="74" s="1"/>
  <c r="M280" i="66"/>
  <c r="M175" i="66"/>
  <c r="K25" i="66"/>
  <c r="J71" i="66"/>
  <c r="J71" i="74" s="1"/>
  <c r="J247" i="66"/>
  <c r="K221" i="66"/>
  <c r="L50" i="66"/>
  <c r="L20" i="66"/>
  <c r="M95" i="66"/>
  <c r="J257" i="66"/>
  <c r="H179" i="66"/>
  <c r="L72" i="66"/>
  <c r="L72" i="74" s="1"/>
  <c r="K33" i="66"/>
  <c r="L135" i="66"/>
  <c r="K145" i="66"/>
  <c r="J135" i="66"/>
  <c r="J135" i="74" s="1"/>
  <c r="J23" i="66"/>
  <c r="L91" i="66"/>
  <c r="M223" i="66"/>
  <c r="J167" i="66"/>
  <c r="L100" i="66"/>
  <c r="M141" i="66"/>
  <c r="H86" i="66"/>
  <c r="J15" i="66"/>
  <c r="L39" i="66"/>
  <c r="K194" i="66"/>
  <c r="J246" i="66"/>
  <c r="J126" i="66"/>
  <c r="M161" i="66"/>
  <c r="M17" i="74" s="1"/>
  <c r="L261" i="66"/>
  <c r="L64" i="66"/>
  <c r="J169" i="66"/>
  <c r="J119" i="66"/>
  <c r="J119" i="74" s="1"/>
  <c r="M188" i="66"/>
  <c r="K203" i="66"/>
  <c r="M182" i="66"/>
  <c r="J87" i="66"/>
  <c r="H91" i="66"/>
  <c r="J205" i="66"/>
  <c r="J274" i="66"/>
  <c r="M144" i="66"/>
  <c r="J62" i="66"/>
  <c r="J62" i="74" s="1"/>
  <c r="H82" i="66"/>
  <c r="J168" i="66"/>
  <c r="H43" i="66"/>
  <c r="H43" i="74" s="1"/>
  <c r="J243" i="66"/>
  <c r="J66" i="66"/>
  <c r="L71" i="66"/>
  <c r="H171" i="66"/>
  <c r="L47" i="66"/>
  <c r="J82" i="66"/>
  <c r="J82" i="74" s="1"/>
  <c r="J141" i="66"/>
  <c r="J141" i="74" s="1"/>
  <c r="L189" i="66"/>
  <c r="K111" i="66"/>
  <c r="K111" i="74" s="1"/>
  <c r="L185" i="66"/>
  <c r="K243" i="66"/>
  <c r="K232" i="66"/>
  <c r="J179" i="66"/>
  <c r="J86" i="66"/>
  <c r="M79" i="66"/>
  <c r="L102" i="66"/>
  <c r="L102" i="74" s="1"/>
  <c r="M12" i="66"/>
  <c r="M12" i="74" s="1"/>
  <c r="L259" i="66"/>
  <c r="J93" i="66"/>
  <c r="J93" i="74" s="1"/>
  <c r="J7" i="66"/>
  <c r="J197" i="66"/>
  <c r="H87" i="66"/>
  <c r="H163" i="66"/>
  <c r="L35" i="66"/>
  <c r="L35" i="74" s="1"/>
  <c r="J151" i="66"/>
  <c r="M59" i="66"/>
  <c r="M59" i="74" s="1"/>
  <c r="H8" i="66"/>
  <c r="J210" i="66"/>
  <c r="K8" i="66"/>
  <c r="M286" i="66"/>
  <c r="H110" i="66"/>
  <c r="H110" i="74" s="1"/>
  <c r="J105" i="66"/>
  <c r="M153" i="66"/>
  <c r="M28" i="66"/>
  <c r="L257" i="66"/>
  <c r="L42" i="66"/>
  <c r="H194" i="66"/>
  <c r="K4" i="66"/>
  <c r="K4" i="74" s="1"/>
  <c r="M271" i="66"/>
  <c r="M238" i="66"/>
  <c r="J252" i="66"/>
  <c r="L146" i="66"/>
  <c r="L146" i="74" s="1"/>
  <c r="H274" i="66"/>
  <c r="K274" i="66"/>
  <c r="M75" i="66"/>
  <c r="J102" i="66"/>
  <c r="H31" i="66"/>
  <c r="M118" i="66"/>
  <c r="M118" i="74" s="1"/>
  <c r="M34" i="66"/>
  <c r="K169" i="66"/>
  <c r="M189" i="66"/>
  <c r="H104" i="66"/>
  <c r="K207" i="66"/>
  <c r="M285" i="66"/>
  <c r="L281" i="66"/>
  <c r="M159" i="66"/>
  <c r="L81" i="66"/>
  <c r="L81" i="74" s="1"/>
  <c r="H290" i="66"/>
  <c r="H103" i="66"/>
  <c r="J232" i="66"/>
  <c r="J186" i="66"/>
  <c r="M142" i="66"/>
  <c r="L169" i="66"/>
  <c r="H7" i="66"/>
  <c r="K66" i="66"/>
  <c r="L212" i="66"/>
  <c r="L83" i="66"/>
  <c r="L83" i="74" s="1"/>
  <c r="J164" i="66"/>
  <c r="L105" i="66"/>
  <c r="K118" i="66"/>
  <c r="K15" i="66"/>
  <c r="J153" i="66"/>
  <c r="J146" i="66"/>
  <c r="J24" i="66"/>
  <c r="J24" i="74" s="1"/>
  <c r="H199" i="66"/>
  <c r="H129" i="66"/>
  <c r="H129" i="74" s="1"/>
  <c r="J113" i="66"/>
  <c r="J113" i="74" s="1"/>
  <c r="K147" i="66"/>
  <c r="L201" i="66"/>
  <c r="K83" i="66"/>
  <c r="K83" i="74" s="1"/>
  <c r="K193" i="66"/>
  <c r="L86" i="66"/>
  <c r="L141" i="66"/>
  <c r="M210" i="66"/>
  <c r="K236" i="66"/>
  <c r="M106" i="66"/>
  <c r="J110" i="66"/>
  <c r="J28" i="66"/>
  <c r="J268" i="66"/>
  <c r="L195" i="66"/>
  <c r="J118" i="66"/>
  <c r="J118" i="74" s="1"/>
  <c r="M211" i="66"/>
  <c r="J272" i="66"/>
  <c r="K177" i="66"/>
  <c r="L134" i="66"/>
  <c r="K159" i="66"/>
  <c r="H33" i="66"/>
  <c r="L247" i="66"/>
  <c r="H261" i="66"/>
  <c r="L29" i="66"/>
  <c r="L29" i="74" s="1"/>
  <c r="K91" i="66"/>
  <c r="K40" i="66"/>
  <c r="L118" i="66"/>
  <c r="L118" i="74" s="1"/>
  <c r="H141" i="66"/>
  <c r="H141" i="74" s="1"/>
  <c r="H247" i="66"/>
  <c r="J214" i="66"/>
  <c r="K171" i="66"/>
  <c r="H34" i="66"/>
  <c r="M272" i="66"/>
  <c r="K214" i="66"/>
  <c r="H15" i="66"/>
  <c r="K88" i="66"/>
  <c r="J193" i="66"/>
  <c r="J12" i="66"/>
  <c r="L101" i="66"/>
  <c r="L101" i="74" s="1"/>
  <c r="J21" i="66"/>
  <c r="J21" i="74" s="1"/>
  <c r="J47" i="66"/>
  <c r="J270" i="66"/>
  <c r="H193" i="66"/>
  <c r="L193" i="66"/>
  <c r="J284" i="66"/>
  <c r="L207" i="66"/>
  <c r="M91" i="66"/>
  <c r="J6" i="66"/>
  <c r="J6" i="74" s="1"/>
  <c r="J44" i="66"/>
  <c r="K211" i="66"/>
  <c r="M244" i="66"/>
  <c r="M96" i="66"/>
  <c r="K157" i="66"/>
  <c r="J72" i="66"/>
  <c r="L226" i="66"/>
  <c r="J231" i="66"/>
  <c r="M71" i="66"/>
  <c r="K127" i="66"/>
  <c r="K127" i="74" s="1"/>
  <c r="K13" i="66"/>
  <c r="H281" i="66"/>
  <c r="L162" i="66"/>
  <c r="K151" i="66"/>
  <c r="K39" i="66"/>
  <c r="K39" i="74" s="1"/>
  <c r="K19" i="66"/>
  <c r="K19" i="74" s="1"/>
  <c r="K107" i="66"/>
  <c r="K107" i="74" s="1"/>
  <c r="M169" i="66"/>
  <c r="J60" i="66"/>
  <c r="J60" i="74" s="1"/>
  <c r="K129" i="66"/>
  <c r="K129" i="74" s="1"/>
  <c r="J50" i="66"/>
  <c r="J50" i="74" s="1"/>
  <c r="J14" i="66"/>
  <c r="J14" i="74" s="1"/>
  <c r="K247" i="66"/>
  <c r="M127" i="66"/>
  <c r="M127" i="74" s="1"/>
  <c r="M235" i="66"/>
  <c r="L140" i="66"/>
  <c r="L140" i="74" s="1"/>
  <c r="H135" i="66"/>
  <c r="H135" i="74" s="1"/>
  <c r="K43" i="66"/>
  <c r="L43" i="66"/>
  <c r="L43" i="74" s="1"/>
  <c r="H177" i="66"/>
  <c r="J227" i="66"/>
  <c r="M143" i="66"/>
  <c r="M143" i="74" s="1"/>
  <c r="L110" i="66"/>
  <c r="H152" i="66"/>
  <c r="M4" i="66"/>
  <c r="M4" i="74" s="1"/>
  <c r="L57" i="66"/>
  <c r="M152" i="66"/>
  <c r="J211" i="66"/>
  <c r="H219" i="66"/>
  <c r="J29" i="66"/>
  <c r="K188" i="66"/>
  <c r="J45" i="66"/>
  <c r="M49" i="66"/>
  <c r="H185" i="66"/>
  <c r="K146" i="66"/>
  <c r="J88" i="66"/>
  <c r="J88" i="74" s="1"/>
  <c r="M250" i="66"/>
  <c r="J94" i="66"/>
  <c r="J94" i="74" s="1"/>
  <c r="L232" i="66"/>
  <c r="J195" i="66"/>
  <c r="J65" i="66"/>
  <c r="J159" i="66"/>
  <c r="J256" i="66"/>
  <c r="M105" i="66"/>
  <c r="L194" i="66"/>
  <c r="L221" i="66"/>
  <c r="M279" i="66"/>
  <c r="J222" i="66"/>
  <c r="K140" i="66"/>
  <c r="K143" i="66"/>
  <c r="L73" i="66"/>
  <c r="H175" i="66"/>
  <c r="J41" i="66"/>
  <c r="J41" i="74" s="1"/>
  <c r="J38" i="66"/>
  <c r="J38" i="74" s="1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L45" i="74" s="1"/>
  <c r="K152" i="66"/>
  <c r="M193" i="66"/>
  <c r="H289" i="66"/>
  <c r="J91" i="66"/>
  <c r="H13" i="66"/>
  <c r="H275" i="66"/>
  <c r="H207" i="66"/>
  <c r="J97" i="66"/>
  <c r="L183" i="66"/>
  <c r="K239" i="66"/>
  <c r="J157" i="66"/>
  <c r="K225" i="66"/>
  <c r="M107" i="66"/>
  <c r="M107" i="74" s="1"/>
  <c r="M221" i="66"/>
  <c r="J187" i="66"/>
  <c r="L234" i="66"/>
  <c r="H206" i="66"/>
  <c r="H205" i="66"/>
  <c r="H19" i="66"/>
  <c r="M38" i="66"/>
  <c r="M38" i="74" s="1"/>
  <c r="H145" i="66"/>
  <c r="J250" i="66"/>
  <c r="H233" i="66"/>
  <c r="M119" i="66"/>
  <c r="M119" i="74" s="1"/>
  <c r="H191" i="66"/>
  <c r="J68" i="66"/>
  <c r="J68" i="74" s="1"/>
  <c r="H51" i="66"/>
  <c r="H51" i="74" s="1"/>
  <c r="K134" i="66"/>
  <c r="L48" i="66"/>
  <c r="L7" i="66"/>
  <c r="M252" i="66"/>
  <c r="M15" i="66"/>
  <c r="K173" i="66"/>
  <c r="J18" i="66"/>
  <c r="J18" i="74" s="1"/>
  <c r="K72" i="66"/>
  <c r="K72" i="74" s="1"/>
  <c r="H239" i="66"/>
  <c r="M284" i="66"/>
  <c r="M86" i="66"/>
  <c r="M86" i="74" s="1"/>
  <c r="M14" i="66"/>
  <c r="M14" i="74" s="1"/>
  <c r="L144" i="66"/>
  <c r="L116" i="66"/>
  <c r="L116" i="74" s="1"/>
  <c r="K131" i="66"/>
  <c r="K131" i="74" s="1"/>
  <c r="L264" i="66"/>
  <c r="K280" i="66"/>
  <c r="M170" i="66"/>
  <c r="J22" i="66"/>
  <c r="J22" i="74" s="1"/>
  <c r="L136" i="66"/>
  <c r="H47" i="66"/>
  <c r="J280" i="66"/>
  <c r="L279" i="66"/>
  <c r="M13" i="66"/>
  <c r="M13" i="74" s="1"/>
  <c r="M274" i="66"/>
  <c r="L90" i="66"/>
  <c r="L87" i="66"/>
  <c r="K135" i="66"/>
  <c r="K135" i="74" s="1"/>
  <c r="K79" i="66"/>
  <c r="K79" i="74" s="1"/>
  <c r="M239" i="66"/>
  <c r="L22" i="66"/>
  <c r="L22" i="74" s="1"/>
  <c r="M214" i="66"/>
  <c r="L242" i="66"/>
  <c r="H244" i="66"/>
  <c r="M74" i="66"/>
  <c r="M74" i="74" s="1"/>
  <c r="J191" i="66"/>
  <c r="M51" i="66"/>
  <c r="J31" i="66"/>
  <c r="J31" i="74" s="1"/>
  <c r="L239" i="66"/>
  <c r="L68" i="66"/>
  <c r="L150" i="66"/>
  <c r="K259" i="66"/>
  <c r="J17" i="66"/>
  <c r="J17" i="74" s="1"/>
  <c r="M162" i="66"/>
  <c r="L161" i="66"/>
  <c r="L235" i="66"/>
  <c r="K291" i="66"/>
  <c r="M234" i="66"/>
  <c r="L266" i="66"/>
  <c r="J13" i="66"/>
  <c r="J34" i="66"/>
  <c r="J34" i="74" s="1"/>
  <c r="M134" i="66"/>
  <c r="H97" i="66"/>
  <c r="H97" i="74" s="1"/>
  <c r="M100" i="66"/>
  <c r="H131" i="66"/>
  <c r="H131" i="74" s="1"/>
  <c r="H79" i="66"/>
  <c r="H79" i="74" s="1"/>
  <c r="J147" i="66"/>
  <c r="J147" i="74" s="1"/>
  <c r="K103" i="66"/>
  <c r="K103" i="74" s="1"/>
  <c r="L244" i="66"/>
  <c r="L280" i="66"/>
  <c r="J286" i="66"/>
  <c r="K22" i="66"/>
  <c r="K22" i="74" s="1"/>
  <c r="J33" i="66"/>
  <c r="J171" i="66"/>
  <c r="J154" i="66"/>
  <c r="L208" i="66"/>
  <c r="J173" i="66"/>
  <c r="L6" i="66"/>
  <c r="L224" i="66"/>
  <c r="L240" i="66"/>
  <c r="K110" i="66"/>
  <c r="H83" i="66"/>
  <c r="H83" i="74" s="1"/>
  <c r="L159" i="66"/>
  <c r="M166" i="66"/>
  <c r="L53" i="66"/>
  <c r="L53" i="74" s="1"/>
  <c r="K55" i="66"/>
  <c r="K55" i="74" s="1"/>
  <c r="H143" i="66"/>
  <c r="J162" i="66"/>
  <c r="H159" i="66"/>
  <c r="K290" i="66"/>
  <c r="K185" i="66"/>
  <c r="L51" i="66"/>
  <c r="L51" i="74" s="1"/>
  <c r="L271" i="66"/>
  <c r="K175" i="66"/>
  <c r="L236" i="66"/>
  <c r="H109" i="66"/>
  <c r="H109" i="74" s="1"/>
  <c r="J140" i="66"/>
  <c r="J140" i="74" s="1"/>
  <c r="M43" i="66"/>
  <c r="M66" i="66"/>
  <c r="M66" i="74" s="1"/>
  <c r="J177" i="66"/>
  <c r="K284" i="66"/>
  <c r="K254" i="66"/>
  <c r="J42" i="66"/>
  <c r="J42" i="74" s="1"/>
  <c r="M139" i="66"/>
  <c r="M139" i="74" s="1"/>
  <c r="H14" i="66"/>
  <c r="H14" i="74" s="1"/>
  <c r="J142" i="66"/>
  <c r="L155" i="66"/>
  <c r="H168" i="66"/>
  <c r="J69" i="66"/>
  <c r="L34" i="66"/>
  <c r="M87" i="66"/>
  <c r="H9" i="66"/>
  <c r="J25" i="66"/>
  <c r="J25" i="74" s="1"/>
  <c r="L168" i="66"/>
  <c r="J123" i="66"/>
  <c r="J123" i="74" s="1"/>
  <c r="H283" i="66"/>
  <c r="M31" i="66"/>
  <c r="L95" i="66"/>
  <c r="M236" i="66"/>
  <c r="M219" i="66"/>
  <c r="J46" i="66"/>
  <c r="J46" i="74" s="1"/>
  <c r="L192" i="66"/>
  <c r="L167" i="66"/>
  <c r="K184" i="66"/>
  <c r="J248" i="66"/>
  <c r="L188" i="66"/>
  <c r="M108" i="66"/>
  <c r="M108" i="74" s="1"/>
  <c r="M57" i="66"/>
  <c r="M57" i="74" s="1"/>
  <c r="K88" i="74" l="1"/>
  <c r="M29" i="74"/>
  <c r="L97" i="74"/>
  <c r="L55" i="74"/>
  <c r="J37" i="74"/>
  <c r="N9" i="74"/>
  <c r="M43" i="74"/>
  <c r="J12" i="74"/>
  <c r="K143" i="74"/>
  <c r="T143" i="74" s="1"/>
  <c r="K52" i="74"/>
  <c r="M144" i="74"/>
  <c r="K100" i="74"/>
  <c r="X100" i="74" s="1"/>
  <c r="N48" i="74"/>
  <c r="H19" i="74"/>
  <c r="J65" i="74"/>
  <c r="H143" i="74"/>
  <c r="J69" i="74"/>
  <c r="L87" i="74"/>
  <c r="N33" i="74"/>
  <c r="J139" i="74"/>
  <c r="H115" i="74"/>
  <c r="N129" i="74"/>
  <c r="L144" i="74"/>
  <c r="K134" i="74"/>
  <c r="T134" i="74" s="1"/>
  <c r="H69" i="74"/>
  <c r="K87" i="74"/>
  <c r="M96" i="74"/>
  <c r="L99" i="74"/>
  <c r="H52" i="74"/>
  <c r="K145" i="74"/>
  <c r="J81" i="74"/>
  <c r="H9" i="74"/>
  <c r="L34" i="74"/>
  <c r="N18" i="74"/>
  <c r="L65" i="74"/>
  <c r="M78" i="74"/>
  <c r="K132" i="74"/>
  <c r="X132" i="74" s="1"/>
  <c r="N7" i="74"/>
  <c r="M106" i="74"/>
  <c r="M71" i="74"/>
  <c r="H37" i="74"/>
  <c r="N58" i="74"/>
  <c r="J100" i="74"/>
  <c r="J91" i="74"/>
  <c r="J28" i="74"/>
  <c r="H7" i="74"/>
  <c r="K33" i="74"/>
  <c r="L32" i="74"/>
  <c r="J59" i="74"/>
  <c r="N56" i="74"/>
  <c r="M79" i="74"/>
  <c r="S79" i="74" s="1"/>
  <c r="J77" i="74"/>
  <c r="L19" i="74"/>
  <c r="L105" i="74"/>
  <c r="L70" i="74"/>
  <c r="N36" i="74"/>
  <c r="N110" i="74"/>
  <c r="N63" i="74"/>
  <c r="N55" i="74"/>
  <c r="L39" i="74"/>
  <c r="N125" i="74"/>
  <c r="J7" i="74"/>
  <c r="L67" i="74"/>
  <c r="M123" i="74"/>
  <c r="J44" i="74"/>
  <c r="J87" i="74"/>
  <c r="M130" i="74"/>
  <c r="M82" i="74"/>
  <c r="J16" i="74"/>
  <c r="K35" i="74"/>
  <c r="L132" i="74"/>
  <c r="N12" i="74"/>
  <c r="N128" i="74"/>
  <c r="N44" i="74"/>
  <c r="N82" i="74"/>
  <c r="N60" i="74"/>
  <c r="H33" i="74"/>
  <c r="L90" i="74"/>
  <c r="L95" i="74"/>
  <c r="L49" i="74"/>
  <c r="M75" i="74"/>
  <c r="J89" i="74"/>
  <c r="J142" i="74"/>
  <c r="J126" i="74"/>
  <c r="J20" i="74"/>
  <c r="K36" i="74"/>
  <c r="N13" i="74"/>
  <c r="N93" i="74"/>
  <c r="M109" i="74"/>
  <c r="J76" i="74"/>
  <c r="J108" i="74"/>
  <c r="M56" i="74"/>
  <c r="M10" i="74"/>
  <c r="L143" i="74"/>
  <c r="M91" i="74"/>
  <c r="J114" i="74"/>
  <c r="K53" i="74"/>
  <c r="Q53" i="74" s="1"/>
  <c r="W53" i="74" s="1"/>
  <c r="N46" i="74"/>
  <c r="L13" i="74"/>
  <c r="J75" i="74"/>
  <c r="K84" i="74"/>
  <c r="N84" i="74"/>
  <c r="N81" i="74"/>
  <c r="J13" i="74"/>
  <c r="L134" i="74"/>
  <c r="H84" i="74"/>
  <c r="N62" i="74"/>
  <c r="H35" i="74"/>
  <c r="M70" i="74"/>
  <c r="K92" i="74"/>
  <c r="K34" i="74"/>
  <c r="X34" i="74" s="1"/>
  <c r="H72" i="74"/>
  <c r="L85" i="74"/>
  <c r="N107" i="74"/>
  <c r="N120" i="74"/>
  <c r="N118" i="74"/>
  <c r="M31" i="74"/>
  <c r="K110" i="74"/>
  <c r="J29" i="74"/>
  <c r="K43" i="74"/>
  <c r="J23" i="74"/>
  <c r="M33" i="74"/>
  <c r="K47" i="74"/>
  <c r="X47" i="74" s="1"/>
  <c r="J134" i="74"/>
  <c r="K37" i="74"/>
  <c r="N23" i="74"/>
  <c r="N127" i="74"/>
  <c r="N75" i="74"/>
  <c r="H24" i="74"/>
  <c r="L122" i="74"/>
  <c r="L11" i="74"/>
  <c r="L77" i="74"/>
  <c r="J144" i="74"/>
  <c r="H63" i="74"/>
  <c r="L114" i="74"/>
  <c r="K125" i="74"/>
  <c r="K5" i="74"/>
  <c r="N4" i="74"/>
  <c r="N115" i="74"/>
  <c r="N101" i="74"/>
  <c r="K40" i="74"/>
  <c r="T40" i="74" s="1"/>
  <c r="K25" i="74"/>
  <c r="M72" i="74"/>
  <c r="S72" i="74" s="1"/>
  <c r="K61" i="74"/>
  <c r="K99" i="74"/>
  <c r="M81" i="74"/>
  <c r="H55" i="74"/>
  <c r="M23" i="74"/>
  <c r="J96" i="74"/>
  <c r="N47" i="74"/>
  <c r="N132" i="74"/>
  <c r="N43" i="74"/>
  <c r="N27" i="74"/>
  <c r="N130" i="74"/>
  <c r="L57" i="74"/>
  <c r="X88" i="74"/>
  <c r="T88" i="74"/>
  <c r="M100" i="74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M126" i="74"/>
  <c r="J64" i="74"/>
  <c r="L93" i="74"/>
  <c r="K49" i="74"/>
  <c r="K51" i="74"/>
  <c r="J52" i="74"/>
  <c r="K85" i="74"/>
  <c r="L133" i="74"/>
  <c r="N143" i="74"/>
  <c r="N49" i="74"/>
  <c r="N112" i="74"/>
  <c r="N22" i="74"/>
  <c r="N91" i="74"/>
  <c r="N144" i="74"/>
  <c r="K31" i="74"/>
  <c r="L17" i="74"/>
  <c r="J97" i="74"/>
  <c r="T127" i="74"/>
  <c r="Q127" i="74"/>
  <c r="W127" i="74" s="1"/>
  <c r="X127" i="74"/>
  <c r="S127" i="74"/>
  <c r="M142" i="74"/>
  <c r="Q4" i="74"/>
  <c r="W4" i="74" s="1"/>
  <c r="X4" i="74"/>
  <c r="S4" i="74"/>
  <c r="T4" i="74"/>
  <c r="J86" i="74"/>
  <c r="J66" i="74"/>
  <c r="H86" i="74"/>
  <c r="L18" i="74"/>
  <c r="L9" i="74"/>
  <c r="L44" i="74"/>
  <c r="X18" i="74"/>
  <c r="T18" i="74"/>
  <c r="X14" i="74"/>
  <c r="S14" i="74"/>
  <c r="T14" i="74"/>
  <c r="Q14" i="74"/>
  <c r="W14" i="74" s="1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1" i="74"/>
  <c r="N124" i="74"/>
  <c r="N37" i="74"/>
  <c r="H104" i="74"/>
  <c r="Q114" i="74"/>
  <c r="W114" i="74" s="1"/>
  <c r="X114" i="74"/>
  <c r="T114" i="74"/>
  <c r="S114" i="74"/>
  <c r="M87" i="74"/>
  <c r="S87" i="74" s="1"/>
  <c r="M134" i="74"/>
  <c r="L68" i="74"/>
  <c r="X135" i="74"/>
  <c r="T135" i="74"/>
  <c r="K146" i="74"/>
  <c r="L110" i="74"/>
  <c r="J146" i="74"/>
  <c r="M34" i="74"/>
  <c r="Q34" i="74" s="1"/>
  <c r="W34" i="74" s="1"/>
  <c r="M141" i="74"/>
  <c r="H41" i="74"/>
  <c r="J83" i="74"/>
  <c r="J49" i="74"/>
  <c r="K82" i="74"/>
  <c r="J106" i="74"/>
  <c r="J48" i="74"/>
  <c r="J10" i="74"/>
  <c r="K123" i="74"/>
  <c r="K29" i="74"/>
  <c r="M24" i="74"/>
  <c r="Q24" i="74" s="1"/>
  <c r="W24" i="74" s="1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X84" i="74"/>
  <c r="T84" i="74"/>
  <c r="N24" i="74"/>
  <c r="N19" i="74"/>
  <c r="N15" i="74"/>
  <c r="N106" i="74"/>
  <c r="N14" i="74"/>
  <c r="N114" i="74"/>
  <c r="N136" i="74"/>
  <c r="N126" i="74"/>
  <c r="N57" i="74"/>
  <c r="T110" i="74"/>
  <c r="X110" i="74"/>
  <c r="K77" i="74"/>
  <c r="M104" i="74"/>
  <c r="M140" i="74"/>
  <c r="X35" i="74"/>
  <c r="T35" i="74"/>
  <c r="J33" i="74"/>
  <c r="L7" i="74"/>
  <c r="Q129" i="74"/>
  <c r="W129" i="74" s="1"/>
  <c r="X129" i="74"/>
  <c r="S129" i="74"/>
  <c r="T129" i="74"/>
  <c r="H34" i="74"/>
  <c r="L42" i="74"/>
  <c r="L100" i="74"/>
  <c r="M95" i="74"/>
  <c r="L25" i="74"/>
  <c r="H39" i="74"/>
  <c r="L103" i="74"/>
  <c r="L98" i="74"/>
  <c r="H49" i="74"/>
  <c r="J90" i="74"/>
  <c r="M92" i="74"/>
  <c r="S92" i="74" s="1"/>
  <c r="L120" i="74"/>
  <c r="J79" i="74"/>
  <c r="J137" i="74"/>
  <c r="K63" i="74"/>
  <c r="H57" i="74"/>
  <c r="M63" i="74"/>
  <c r="H130" i="74"/>
  <c r="M97" i="74"/>
  <c r="Q97" i="74" s="1"/>
  <c r="H50" i="74"/>
  <c r="L4" i="74"/>
  <c r="M19" i="74"/>
  <c r="S19" i="74" s="1"/>
  <c r="H61" i="74"/>
  <c r="L84" i="74"/>
  <c r="N134" i="74"/>
  <c r="N145" i="74"/>
  <c r="N138" i="74"/>
  <c r="N71" i="74"/>
  <c r="J115" i="74"/>
  <c r="X79" i="74"/>
  <c r="T79" i="74"/>
  <c r="Q79" i="74"/>
  <c r="W79" i="74" s="1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Q88" i="74" s="1"/>
  <c r="W88" i="74" s="1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Q110" i="74" s="1"/>
  <c r="W110" i="74" s="1"/>
  <c r="J104" i="74"/>
  <c r="J98" i="74"/>
  <c r="H27" i="74"/>
  <c r="H21" i="74"/>
  <c r="H36" i="74"/>
  <c r="N45" i="74"/>
  <c r="N10" i="74"/>
  <c r="N25" i="74"/>
  <c r="N95" i="74"/>
  <c r="N79" i="74"/>
  <c r="J47" i="74"/>
  <c r="M15" i="74"/>
  <c r="T131" i="74"/>
  <c r="X131" i="74"/>
  <c r="X22" i="74"/>
  <c r="T22" i="74"/>
  <c r="S134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T87" i="74"/>
  <c r="X87" i="74"/>
  <c r="L26" i="74"/>
  <c r="J58" i="74"/>
  <c r="H75" i="74"/>
  <c r="L109" i="74"/>
  <c r="M25" i="74"/>
  <c r="S25" i="74" s="1"/>
  <c r="K112" i="74"/>
  <c r="K109" i="74"/>
  <c r="M125" i="74"/>
  <c r="Q125" i="74" s="1"/>
  <c r="W125" i="74" s="1"/>
  <c r="L107" i="74"/>
  <c r="H67" i="74"/>
  <c r="K41" i="74"/>
  <c r="L59" i="74"/>
  <c r="L38" i="74"/>
  <c r="M145" i="74"/>
  <c r="Q145" i="74" s="1"/>
  <c r="H64" i="74"/>
  <c r="K67" i="74"/>
  <c r="J80" i="74"/>
  <c r="L37" i="74"/>
  <c r="J85" i="74"/>
  <c r="N32" i="74"/>
  <c r="N38" i="74"/>
  <c r="N29" i="74"/>
  <c r="N142" i="74"/>
  <c r="N121" i="74"/>
  <c r="N72" i="74"/>
  <c r="N122" i="74"/>
  <c r="N64" i="74"/>
  <c r="Q107" i="74"/>
  <c r="W107" i="74" s="1"/>
  <c r="S107" i="74"/>
  <c r="T107" i="74"/>
  <c r="X107" i="74"/>
  <c r="Q111" i="74"/>
  <c r="W111" i="74" s="1"/>
  <c r="X111" i="74"/>
  <c r="S111" i="74"/>
  <c r="T111" i="74"/>
  <c r="L91" i="74"/>
  <c r="M94" i="74"/>
  <c r="T24" i="74"/>
  <c r="X24" i="74"/>
  <c r="M32" i="74"/>
  <c r="L62" i="74"/>
  <c r="M124" i="74"/>
  <c r="M11" i="74"/>
  <c r="T64" i="74"/>
  <c r="X64" i="74"/>
  <c r="T92" i="74"/>
  <c r="X92" i="74"/>
  <c r="J136" i="74"/>
  <c r="M61" i="74"/>
  <c r="M101" i="74"/>
  <c r="Q101" i="74" s="1"/>
  <c r="W101" i="74" s="1"/>
  <c r="L115" i="74"/>
  <c r="K27" i="74"/>
  <c r="S52" i="74"/>
  <c r="Q52" i="74"/>
  <c r="W52" i="74" s="1"/>
  <c r="X52" i="74"/>
  <c r="T52" i="74"/>
  <c r="H100" i="74"/>
  <c r="M8" i="74"/>
  <c r="J128" i="74"/>
  <c r="N141" i="74"/>
  <c r="N109" i="74"/>
  <c r="T19" i="74"/>
  <c r="X19" i="74"/>
  <c r="X83" i="74"/>
  <c r="T83" i="74"/>
  <c r="J105" i="74"/>
  <c r="M90" i="74"/>
  <c r="S86" i="74"/>
  <c r="Q86" i="74"/>
  <c r="W86" i="74" s="1"/>
  <c r="X86" i="74"/>
  <c r="T86" i="74"/>
  <c r="J8" i="74"/>
  <c r="H95" i="74"/>
  <c r="J103" i="74"/>
  <c r="L92" i="74"/>
  <c r="J27" i="74"/>
  <c r="M47" i="74"/>
  <c r="S47" i="74" s="1"/>
  <c r="M135" i="74"/>
  <c r="Q135" i="74" s="1"/>
  <c r="W135" i="74" s="1"/>
  <c r="M120" i="74"/>
  <c r="M18" i="74"/>
  <c r="S18" i="74" s="1"/>
  <c r="U18" i="74" s="1"/>
  <c r="L23" i="74"/>
  <c r="M46" i="74"/>
  <c r="L139" i="74"/>
  <c r="K50" i="74"/>
  <c r="M40" i="74"/>
  <c r="L128" i="74"/>
  <c r="X37" i="74"/>
  <c r="T37" i="74"/>
  <c r="N42" i="74"/>
  <c r="N31" i="74"/>
  <c r="N76" i="74"/>
  <c r="T73" i="74"/>
  <c r="S73" i="74"/>
  <c r="Q73" i="74"/>
  <c r="W73" i="74" s="1"/>
  <c r="X73" i="74"/>
  <c r="X16" i="74"/>
  <c r="T16" i="74"/>
  <c r="M121" i="74"/>
  <c r="Q121" i="74" s="1"/>
  <c r="W121" i="74" s="1"/>
  <c r="J51" i="74"/>
  <c r="J95" i="74"/>
  <c r="T97" i="74"/>
  <c r="X97" i="74"/>
  <c r="H62" i="74"/>
  <c r="T125" i="74"/>
  <c r="X125" i="74"/>
  <c r="T5" i="74"/>
  <c r="X5" i="74"/>
  <c r="Q5" i="74"/>
  <c r="W5" i="74" s="1"/>
  <c r="S5" i="74"/>
  <c r="M16" i="74"/>
  <c r="M44" i="74"/>
  <c r="K136" i="74"/>
  <c r="K7" i="74"/>
  <c r="X36" i="74"/>
  <c r="T36" i="74"/>
  <c r="X133" i="74"/>
  <c r="T133" i="74"/>
  <c r="X39" i="74"/>
  <c r="S39" i="74"/>
  <c r="Q39" i="74"/>
  <c r="W39" i="74" s="1"/>
  <c r="T39" i="74"/>
  <c r="H47" i="74"/>
  <c r="T145" i="74"/>
  <c r="X145" i="74"/>
  <c r="X101" i="74"/>
  <c r="T101" i="74"/>
  <c r="J43" i="74"/>
  <c r="M136" i="74"/>
  <c r="J9" i="74"/>
  <c r="J61" i="74"/>
  <c r="J107" i="74"/>
  <c r="H133" i="74"/>
  <c r="K147" i="74"/>
  <c r="X25" i="74"/>
  <c r="T25" i="74"/>
  <c r="L96" i="74"/>
  <c r="T121" i="74"/>
  <c r="X121" i="74"/>
  <c r="L6" i="74"/>
  <c r="L136" i="74"/>
  <c r="T72" i="74"/>
  <c r="X72" i="74"/>
  <c r="L73" i="74"/>
  <c r="K91" i="74"/>
  <c r="K66" i="74"/>
  <c r="K8" i="74"/>
  <c r="L47" i="74"/>
  <c r="H91" i="74"/>
  <c r="L135" i="74"/>
  <c r="L127" i="74"/>
  <c r="L78" i="74"/>
  <c r="K62" i="74"/>
  <c r="T139" i="74"/>
  <c r="X139" i="74"/>
  <c r="Q139" i="74"/>
  <c r="W139" i="74" s="1"/>
  <c r="S139" i="74"/>
  <c r="L66" i="74"/>
  <c r="L111" i="74"/>
  <c r="J32" i="74"/>
  <c r="M22" i="74"/>
  <c r="S22" i="74" s="1"/>
  <c r="L80" i="74"/>
  <c r="H146" i="74"/>
  <c r="X89" i="74"/>
  <c r="T89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Q64" i="74" s="1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H132" i="74"/>
  <c r="N123" i="74"/>
  <c r="N104" i="74"/>
  <c r="N105" i="74"/>
  <c r="N40" i="74"/>
  <c r="N103" i="74"/>
  <c r="N140" i="74"/>
  <c r="N86" i="74"/>
  <c r="N94" i="74"/>
  <c r="AB289" i="66"/>
  <c r="AC289" i="66" s="1"/>
  <c r="AB97" i="66"/>
  <c r="AC97" i="66" s="1"/>
  <c r="AB145" i="66"/>
  <c r="AC145" i="66" s="1"/>
  <c r="AB256" i="66"/>
  <c r="AC256" i="66" s="1"/>
  <c r="AB241" i="66"/>
  <c r="AC241" i="66" s="1"/>
  <c r="AB16" i="66"/>
  <c r="AC16" i="66" s="1"/>
  <c r="AB49" i="66"/>
  <c r="AC49" i="66" s="1"/>
  <c r="AB193" i="66"/>
  <c r="AC193" i="66" s="1"/>
  <c r="AB112" i="66"/>
  <c r="AC112" i="66" s="1"/>
  <c r="AB208" i="66"/>
  <c r="AC208" i="66" s="1"/>
  <c r="AB160" i="66"/>
  <c r="AC160" i="66" s="1"/>
  <c r="AB64" i="66"/>
  <c r="AC64" i="66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T34" i="74" l="1"/>
  <c r="Q134" i="74"/>
  <c r="W134" i="74" s="1"/>
  <c r="X134" i="74"/>
  <c r="S100" i="74"/>
  <c r="U100" i="74" s="1"/>
  <c r="T100" i="74"/>
  <c r="T47" i="74"/>
  <c r="Q100" i="74"/>
  <c r="W100" i="74" s="1"/>
  <c r="S24" i="74"/>
  <c r="X40" i="74"/>
  <c r="S143" i="74"/>
  <c r="Q43" i="74"/>
  <c r="W43" i="74" s="1"/>
  <c r="X143" i="74"/>
  <c r="Q143" i="74"/>
  <c r="W143" i="74" s="1"/>
  <c r="Y143" i="74" s="1"/>
  <c r="Y135" i="74"/>
  <c r="AC16" i="74"/>
  <c r="AD16" i="74" s="1"/>
  <c r="S40" i="74"/>
  <c r="U40" i="74" s="1"/>
  <c r="T132" i="74"/>
  <c r="S53" i="74"/>
  <c r="T53" i="74"/>
  <c r="X53" i="74"/>
  <c r="Y53" i="74" s="1"/>
  <c r="Y100" i="74"/>
  <c r="S33" i="74"/>
  <c r="Q72" i="74"/>
  <c r="W72" i="74" s="1"/>
  <c r="Y72" i="74" s="1"/>
  <c r="Y114" i="74"/>
  <c r="Q33" i="74"/>
  <c r="W33" i="74" s="1"/>
  <c r="T33" i="74"/>
  <c r="AC97" i="74"/>
  <c r="AD97" i="74" s="1"/>
  <c r="X33" i="74"/>
  <c r="S125" i="74"/>
  <c r="U125" i="74" s="1"/>
  <c r="S34" i="74"/>
  <c r="U34" i="74" s="1"/>
  <c r="U22" i="74"/>
  <c r="Q19" i="74"/>
  <c r="W19" i="74" s="1"/>
  <c r="Y5" i="74"/>
  <c r="U111" i="74"/>
  <c r="U87" i="74"/>
  <c r="Q61" i="74"/>
  <c r="W61" i="74" s="1"/>
  <c r="Y134" i="74"/>
  <c r="U92" i="74"/>
  <c r="U129" i="74"/>
  <c r="U79" i="74"/>
  <c r="U107" i="74"/>
  <c r="U25" i="74"/>
  <c r="Y129" i="74"/>
  <c r="U47" i="74"/>
  <c r="Y86" i="74"/>
  <c r="Y101" i="74"/>
  <c r="Y14" i="74"/>
  <c r="Q16" i="74"/>
  <c r="W16" i="74" s="1"/>
  <c r="Y16" i="74" s="1"/>
  <c r="U139" i="74"/>
  <c r="S61" i="74"/>
  <c r="S43" i="74"/>
  <c r="Q25" i="74"/>
  <c r="W25" i="74" s="1"/>
  <c r="Y25" i="74" s="1"/>
  <c r="X61" i="74"/>
  <c r="T43" i="74"/>
  <c r="Q87" i="74"/>
  <c r="W87" i="74" s="1"/>
  <c r="Y87" i="74" s="1"/>
  <c r="T61" i="74"/>
  <c r="X43" i="74"/>
  <c r="S135" i="74"/>
  <c r="U135" i="74" s="1"/>
  <c r="Y111" i="74"/>
  <c r="Y125" i="74"/>
  <c r="U134" i="74"/>
  <c r="Y88" i="74"/>
  <c r="S110" i="74"/>
  <c r="U110" i="74" s="1"/>
  <c r="U127" i="74"/>
  <c r="Y73" i="74"/>
  <c r="Y127" i="74"/>
  <c r="S121" i="74"/>
  <c r="U121" i="74" s="1"/>
  <c r="Y34" i="74"/>
  <c r="Q40" i="74"/>
  <c r="W40" i="74" s="1"/>
  <c r="Q92" i="74"/>
  <c r="W92" i="74" s="1"/>
  <c r="Y92" i="74" s="1"/>
  <c r="Y110" i="74"/>
  <c r="O97" i="74"/>
  <c r="P97" i="74" s="1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X115" i="74"/>
  <c r="S115" i="74"/>
  <c r="S16" i="74"/>
  <c r="U16" i="74" s="1"/>
  <c r="Q118" i="74"/>
  <c r="W118" i="74" s="1"/>
  <c r="X118" i="74"/>
  <c r="S118" i="74"/>
  <c r="T118" i="74"/>
  <c r="S77" i="74"/>
  <c r="Q77" i="74"/>
  <c r="W77" i="74" s="1"/>
  <c r="T77" i="74"/>
  <c r="X77" i="74"/>
  <c r="U14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Q82" i="74"/>
  <c r="W82" i="74" s="1"/>
  <c r="U4" i="74"/>
  <c r="X38" i="74"/>
  <c r="Q38" i="74"/>
  <c r="W38" i="74" s="1"/>
  <c r="T38" i="74"/>
  <c r="S38" i="74"/>
  <c r="U86" i="74"/>
  <c r="Y43" i="74"/>
  <c r="Y52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Y121" i="74"/>
  <c r="U52" i="74"/>
  <c r="O49" i="74"/>
  <c r="AC49" i="74"/>
  <c r="AD49" i="74" s="1"/>
  <c r="Y4" i="74"/>
  <c r="Q140" i="74"/>
  <c r="W140" i="74" s="1"/>
  <c r="X140" i="74"/>
  <c r="T140" i="74"/>
  <c r="S140" i="74"/>
  <c r="X91" i="74"/>
  <c r="T91" i="74"/>
  <c r="Q91" i="74"/>
  <c r="W91" i="74" s="1"/>
  <c r="S9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Q18" i="74"/>
  <c r="W18" i="74" s="1"/>
  <c r="Y18" i="74" s="1"/>
  <c r="O145" i="74"/>
  <c r="AC145" i="74"/>
  <c r="AD145" i="74" s="1"/>
  <c r="Y139" i="74"/>
  <c r="Q136" i="74"/>
  <c r="W136" i="74" s="1"/>
  <c r="S136" i="74"/>
  <c r="T136" i="74"/>
  <c r="X136" i="74"/>
  <c r="U73" i="74"/>
  <c r="U143" i="74"/>
  <c r="U114" i="74"/>
  <c r="X75" i="74"/>
  <c r="Q75" i="74"/>
  <c r="W75" i="74" s="1"/>
  <c r="T75" i="74"/>
  <c r="S75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X59" i="74"/>
  <c r="T59" i="74"/>
  <c r="O112" i="74"/>
  <c r="AC112" i="74"/>
  <c r="AD112" i="74" s="1"/>
  <c r="X109" i="74"/>
  <c r="Q109" i="74"/>
  <c r="W109" i="74" s="1"/>
  <c r="T109" i="74"/>
  <c r="S109" i="74"/>
  <c r="T62" i="74"/>
  <c r="Q62" i="74"/>
  <c r="W62" i="74" s="1"/>
  <c r="X62" i="74"/>
  <c r="S62" i="74"/>
  <c r="U72" i="74"/>
  <c r="S101" i="74"/>
  <c r="U101" i="74" s="1"/>
  <c r="U5" i="74"/>
  <c r="Y19" i="74"/>
  <c r="S29" i="74"/>
  <c r="X29" i="74"/>
  <c r="T29" i="74"/>
  <c r="Q29" i="74"/>
  <c r="W29" i="74" s="1"/>
  <c r="X85" i="74"/>
  <c r="T85" i="74"/>
  <c r="S88" i="74"/>
  <c r="U88" i="74" s="1"/>
  <c r="T120" i="74"/>
  <c r="X120" i="74"/>
  <c r="Q120" i="74"/>
  <c r="W120" i="74" s="1"/>
  <c r="S120" i="74"/>
  <c r="U24" i="74"/>
  <c r="Y107" i="74"/>
  <c r="X67" i="74"/>
  <c r="Q67" i="74"/>
  <c r="W67" i="74" s="1"/>
  <c r="S67" i="74"/>
  <c r="T67" i="74"/>
  <c r="Y79" i="74"/>
  <c r="T63" i="74"/>
  <c r="X63" i="74"/>
  <c r="Q63" i="74"/>
  <c r="W63" i="74" s="1"/>
  <c r="S63" i="74"/>
  <c r="Q123" i="74"/>
  <c r="W123" i="74" s="1"/>
  <c r="X123" i="74"/>
  <c r="T123" i="74"/>
  <c r="S123" i="74"/>
  <c r="Y39" i="74"/>
  <c r="U39" i="74"/>
  <c r="U19" i="74"/>
  <c r="Y24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U53" i="74" l="1"/>
  <c r="U43" i="74"/>
  <c r="Y40" i="74"/>
  <c r="Y33" i="74"/>
  <c r="U33" i="74"/>
  <c r="U61" i="74"/>
  <c r="Y61" i="74"/>
  <c r="U136" i="74"/>
  <c r="U118" i="74"/>
  <c r="U77" i="74"/>
  <c r="U66" i="74"/>
  <c r="U31" i="74"/>
  <c r="Y63" i="74"/>
  <c r="U130" i="74"/>
  <c r="U120" i="74"/>
  <c r="U81" i="74"/>
  <c r="Y62" i="74"/>
  <c r="Z97" i="74"/>
  <c r="AA97" i="74"/>
  <c r="Y123" i="74"/>
  <c r="Y44" i="74"/>
  <c r="Y59" i="74"/>
  <c r="U15" i="74"/>
  <c r="U140" i="74"/>
  <c r="Y66" i="74"/>
  <c r="U38" i="74"/>
  <c r="Y49" i="74"/>
  <c r="Y109" i="74"/>
  <c r="Y27" i="74"/>
  <c r="U82" i="74"/>
  <c r="Y91" i="74"/>
  <c r="Y95" i="74"/>
  <c r="U62" i="74"/>
  <c r="Y118" i="74"/>
  <c r="Y38" i="74"/>
  <c r="U115" i="74"/>
  <c r="Y29" i="74"/>
  <c r="Y81" i="74"/>
  <c r="Y67" i="74"/>
  <c r="U109" i="74"/>
  <c r="Y115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E18" i="34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X89" i="66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E11" i="17" l="1"/>
  <c r="D11" i="17" s="1"/>
  <c r="H125" i="37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I173" i="35"/>
  <c r="I171" i="35"/>
  <c r="I175" i="35"/>
  <c r="H175" i="35"/>
  <c r="I177" i="35"/>
  <c r="H177" i="35"/>
  <c r="I172" i="35"/>
  <c r="J99" i="58" s="1"/>
  <c r="I174" i="35"/>
  <c r="J107" i="58" s="1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E24" i="20" l="1"/>
  <c r="P8" i="18" s="1"/>
  <c r="H172" i="35"/>
  <c r="I99" i="58" s="1"/>
  <c r="H174" i="35"/>
  <c r="I102" i="58" s="1"/>
  <c r="H171" i="35"/>
  <c r="I100" i="37" s="1"/>
  <c r="H173" i="35"/>
  <c r="H24" i="20"/>
  <c r="Z6" i="20" s="1"/>
  <c r="D24" i="20"/>
  <c r="G24" i="20"/>
  <c r="G272" i="66"/>
  <c r="I122" i="58"/>
  <c r="J129" i="58"/>
  <c r="J139" i="58"/>
  <c r="J138" i="58"/>
  <c r="J133" i="58"/>
  <c r="J120" i="58"/>
  <c r="J118" i="58"/>
  <c r="J117" i="58"/>
  <c r="J119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J131" i="37"/>
  <c r="J130" i="37"/>
  <c r="J130" i="41" s="1"/>
  <c r="J126" i="37"/>
  <c r="J129" i="37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U64" i="66"/>
  <c r="U241" i="66"/>
  <c r="H114" i="41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G96" i="66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G128" i="74" s="1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99" i="41" l="1"/>
  <c r="G96" i="74"/>
  <c r="Z3" i="20"/>
  <c r="I102" i="41"/>
  <c r="I101" i="58"/>
  <c r="P17" i="18"/>
  <c r="Y6" i="20"/>
  <c r="P14" i="18"/>
  <c r="P5" i="18"/>
  <c r="Y3" i="20"/>
  <c r="G144" i="74"/>
  <c r="G80" i="74"/>
  <c r="G32" i="74"/>
  <c r="G48" i="74"/>
  <c r="K96" i="66"/>
  <c r="Q96" i="66" s="1"/>
  <c r="K144" i="66"/>
  <c r="Q144" i="66" s="1"/>
  <c r="K80" i="66"/>
  <c r="T80" i="66" s="1"/>
  <c r="I122" i="41"/>
  <c r="J133" i="41"/>
  <c r="J129" i="4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M55" i="39"/>
  <c r="E187" i="38" s="1"/>
  <c r="L55" i="39"/>
  <c r="E170" i="38" s="1"/>
  <c r="E54" i="39"/>
  <c r="E135" i="38" s="1"/>
  <c r="I130" i="41"/>
  <c r="H108" i="41"/>
  <c r="M4" i="41" s="1"/>
  <c r="K55" i="39"/>
  <c r="E153" i="38" s="1"/>
  <c r="J116" i="41"/>
  <c r="I116" i="41"/>
  <c r="I129" i="41"/>
  <c r="J115" i="41"/>
  <c r="I104" i="41"/>
  <c r="I135" i="41"/>
  <c r="J131" i="41"/>
  <c r="H140" i="41"/>
  <c r="I124" i="58"/>
  <c r="K272" i="66"/>
  <c r="J128" i="58"/>
  <c r="J98" i="58"/>
  <c r="J124" i="58"/>
  <c r="H98" i="58"/>
  <c r="I98" i="58"/>
  <c r="I128" i="58"/>
  <c r="H97" i="58"/>
  <c r="H124" i="58"/>
  <c r="C33" i="63" s="1"/>
  <c r="H126" i="58"/>
  <c r="H477" i="37"/>
  <c r="J97" i="58"/>
  <c r="J475" i="37"/>
  <c r="J96" i="58"/>
  <c r="I97" i="58"/>
  <c r="I477" i="37"/>
  <c r="I126" i="58"/>
  <c r="I96" i="58"/>
  <c r="I475" i="37"/>
  <c r="J477" i="37"/>
  <c r="J126" i="58"/>
  <c r="H128" i="58"/>
  <c r="H96" i="58"/>
  <c r="K54" i="39"/>
  <c r="E152" i="38" s="1"/>
  <c r="K32" i="66"/>
  <c r="J137" i="41"/>
  <c r="K48" i="66"/>
  <c r="J123" i="41"/>
  <c r="I108" i="41"/>
  <c r="I107" i="41"/>
  <c r="J108" i="41"/>
  <c r="O4" i="41" s="1"/>
  <c r="H123" i="41"/>
  <c r="H137" i="41"/>
  <c r="H100" i="41"/>
  <c r="J432" i="58"/>
  <c r="J430" i="58"/>
  <c r="J433" i="58"/>
  <c r="J431" i="58"/>
  <c r="I95" i="41"/>
  <c r="I100" i="41"/>
  <c r="H132" i="41"/>
  <c r="I432" i="58"/>
  <c r="I433" i="58"/>
  <c r="I431" i="58"/>
  <c r="I430" i="58"/>
  <c r="H95" i="41"/>
  <c r="J103" i="41"/>
  <c r="H432" i="58"/>
  <c r="H430" i="58"/>
  <c r="H433" i="58"/>
  <c r="I140" i="41"/>
  <c r="J136" i="41"/>
  <c r="J140" i="41"/>
  <c r="O6" i="41" s="1"/>
  <c r="H115" i="41"/>
  <c r="H116" i="41"/>
  <c r="T96" i="66"/>
  <c r="J95" i="41"/>
  <c r="C43" i="63" l="1"/>
  <c r="Q80" i="66"/>
  <c r="T144" i="66"/>
  <c r="K128" i="66"/>
  <c r="K128" i="74" s="1"/>
  <c r="H477" i="58"/>
  <c r="K288" i="66"/>
  <c r="K144" i="74" s="1"/>
  <c r="G148" i="66"/>
  <c r="O148" i="66" s="1"/>
  <c r="J477" i="58"/>
  <c r="K224" i="66"/>
  <c r="Q224" i="66" s="1"/>
  <c r="G196" i="66"/>
  <c r="O196" i="66" s="1"/>
  <c r="I475" i="58"/>
  <c r="I477" i="58"/>
  <c r="G191" i="66"/>
  <c r="O191" i="66" s="1"/>
  <c r="G287" i="66"/>
  <c r="AB287" i="66" s="1"/>
  <c r="AC287" i="66" s="1"/>
  <c r="K192" i="66"/>
  <c r="K48" i="74" s="1"/>
  <c r="G244" i="66"/>
  <c r="O244" i="66" s="1"/>
  <c r="J475" i="58"/>
  <c r="G239" i="66"/>
  <c r="O239" i="66" s="1"/>
  <c r="N4" i="41"/>
  <c r="M6" i="41"/>
  <c r="N6" i="41"/>
  <c r="K240" i="66"/>
  <c r="K96" i="74" s="1"/>
  <c r="I431" i="41"/>
  <c r="H127" i="58"/>
  <c r="J109" i="58"/>
  <c r="J112" i="58"/>
  <c r="J127" i="58"/>
  <c r="H105" i="58"/>
  <c r="J125" i="58"/>
  <c r="J105" i="58"/>
  <c r="H432" i="41"/>
  <c r="Q128" i="66"/>
  <c r="T128" i="66"/>
  <c r="H433" i="41"/>
  <c r="I476" i="37"/>
  <c r="I110" i="58"/>
  <c r="I432" i="41"/>
  <c r="K41" i="39"/>
  <c r="E139" i="38" s="1"/>
  <c r="G156" i="66"/>
  <c r="E370" i="38"/>
  <c r="I125" i="58"/>
  <c r="I430" i="41"/>
  <c r="G95" i="66"/>
  <c r="G95" i="74" s="1"/>
  <c r="AC95" i="74" s="1"/>
  <c r="AD95" i="74" s="1"/>
  <c r="J113" i="58"/>
  <c r="J110" i="58"/>
  <c r="J476" i="37"/>
  <c r="H113" i="58"/>
  <c r="I111" i="58"/>
  <c r="J431" i="41"/>
  <c r="H125" i="58"/>
  <c r="H110" i="58"/>
  <c r="I433" i="41"/>
  <c r="H111" i="58"/>
  <c r="G143" i="66"/>
  <c r="G143" i="74" s="1"/>
  <c r="AC143" i="74" s="1"/>
  <c r="AD143" i="74" s="1"/>
  <c r="J430" i="41"/>
  <c r="T48" i="66"/>
  <c r="Q48" i="66"/>
  <c r="S48" i="66"/>
  <c r="H96" i="41"/>
  <c r="G46" i="66"/>
  <c r="J97" i="41"/>
  <c r="H109" i="58"/>
  <c r="I112" i="58"/>
  <c r="J433" i="41"/>
  <c r="G190" i="66"/>
  <c r="I113" i="58"/>
  <c r="J111" i="58"/>
  <c r="I109" i="58"/>
  <c r="H112" i="58"/>
  <c r="J432" i="41"/>
  <c r="K176" i="66"/>
  <c r="K32" i="74" s="1"/>
  <c r="I96" i="41"/>
  <c r="D12" i="39" s="1"/>
  <c r="G94" i="66"/>
  <c r="D39" i="39"/>
  <c r="E103" i="38" s="1"/>
  <c r="S192" i="66"/>
  <c r="Q192" i="66"/>
  <c r="T192" i="66"/>
  <c r="G238" i="66"/>
  <c r="L39" i="39"/>
  <c r="E154" i="38" s="1"/>
  <c r="I127" i="58"/>
  <c r="I105" i="58"/>
  <c r="G47" i="66"/>
  <c r="H430" i="41"/>
  <c r="S32" i="66"/>
  <c r="Q32" i="66"/>
  <c r="T32" i="66"/>
  <c r="Q288" i="66"/>
  <c r="T288" i="66"/>
  <c r="C53" i="63"/>
  <c r="H98" i="41"/>
  <c r="J124" i="41"/>
  <c r="O5" i="41" s="1"/>
  <c r="C23" i="63"/>
  <c r="J98" i="41"/>
  <c r="T272" i="66"/>
  <c r="Q272" i="66"/>
  <c r="I97" i="41"/>
  <c r="M41" i="39"/>
  <c r="E173" i="38" s="1"/>
  <c r="G252" i="66"/>
  <c r="E41" i="39"/>
  <c r="E122" i="38" s="1"/>
  <c r="J126" i="41"/>
  <c r="E14" i="39" s="1"/>
  <c r="G108" i="66"/>
  <c r="G204" i="66"/>
  <c r="L41" i="39"/>
  <c r="E156" i="38" s="1"/>
  <c r="H128" i="41"/>
  <c r="G4" i="66"/>
  <c r="I126" i="41"/>
  <c r="D14" i="39" s="1"/>
  <c r="D41" i="39"/>
  <c r="E105" i="38" s="1"/>
  <c r="G60" i="66"/>
  <c r="H97" i="41"/>
  <c r="I128" i="41"/>
  <c r="G52" i="66"/>
  <c r="I98" i="41"/>
  <c r="J128" i="41"/>
  <c r="G100" i="66"/>
  <c r="G100" i="74" s="1"/>
  <c r="I124" i="41"/>
  <c r="C13" i="63"/>
  <c r="G286" i="66"/>
  <c r="M39" i="39"/>
  <c r="E171" i="38" s="1"/>
  <c r="C3" i="63"/>
  <c r="H124" i="41"/>
  <c r="M5" i="41" s="1"/>
  <c r="E39" i="39"/>
  <c r="E120" i="38" s="1"/>
  <c r="J96" i="41"/>
  <c r="E12" i="39" s="1"/>
  <c r="G142" i="66"/>
  <c r="H126" i="41"/>
  <c r="C14" i="39" s="1"/>
  <c r="C41" i="39"/>
  <c r="E88" i="38" s="1"/>
  <c r="G12" i="66"/>
  <c r="G12" i="74" s="1"/>
  <c r="G4" i="74" l="1"/>
  <c r="AC4" i="74" s="1"/>
  <c r="G52" i="74"/>
  <c r="O52" i="74" s="1"/>
  <c r="Z52" i="74" s="1"/>
  <c r="T224" i="66"/>
  <c r="G46" i="74"/>
  <c r="O95" i="74"/>
  <c r="AA95" i="74" s="1"/>
  <c r="G108" i="74"/>
  <c r="AB196" i="66"/>
  <c r="AC196" i="66" s="1"/>
  <c r="G94" i="74"/>
  <c r="Q144" i="74"/>
  <c r="X144" i="74"/>
  <c r="T144" i="74"/>
  <c r="S48" i="74"/>
  <c r="T48" i="74"/>
  <c r="Q48" i="74"/>
  <c r="W48" i="74" s="1"/>
  <c r="X48" i="74"/>
  <c r="Q96" i="74"/>
  <c r="X96" i="74"/>
  <c r="T96" i="74"/>
  <c r="Q32" i="74"/>
  <c r="W32" i="74" s="1"/>
  <c r="X32" i="74"/>
  <c r="T32" i="74"/>
  <c r="S32" i="74"/>
  <c r="G142" i="74"/>
  <c r="AB191" i="66"/>
  <c r="AC191" i="66" s="1"/>
  <c r="O143" i="74"/>
  <c r="Z143" i="74" s="1"/>
  <c r="G60" i="74"/>
  <c r="AB148" i="66"/>
  <c r="AC148" i="66" s="1"/>
  <c r="G47" i="74"/>
  <c r="K80" i="74"/>
  <c r="O287" i="66"/>
  <c r="O100" i="74"/>
  <c r="AC100" i="74"/>
  <c r="I476" i="58"/>
  <c r="AB239" i="66"/>
  <c r="AC239" i="66" s="1"/>
  <c r="AB244" i="66"/>
  <c r="AC244" i="66" s="1"/>
  <c r="J476" i="58"/>
  <c r="Z95" i="74"/>
  <c r="X128" i="74"/>
  <c r="Q128" i="74"/>
  <c r="T128" i="74"/>
  <c r="L156" i="66"/>
  <c r="AB4" i="66"/>
  <c r="AC4" i="66" s="1"/>
  <c r="AB95" i="66"/>
  <c r="AC95" i="66" s="1"/>
  <c r="AB47" i="66"/>
  <c r="AC47" i="66" s="1"/>
  <c r="AB100" i="66"/>
  <c r="AC100" i="66" s="1"/>
  <c r="AB143" i="66"/>
  <c r="AC143" i="66" s="1"/>
  <c r="AB52" i="66"/>
  <c r="AC52" i="66" s="1"/>
  <c r="O100" i="66"/>
  <c r="Z100" i="66" s="1"/>
  <c r="O47" i="66"/>
  <c r="AA191" i="66" s="1"/>
  <c r="O52" i="66"/>
  <c r="Z52" i="66" s="1"/>
  <c r="O4" i="66"/>
  <c r="Z4" i="66" s="1"/>
  <c r="O95" i="66"/>
  <c r="AA239" i="66" s="1"/>
  <c r="O143" i="66"/>
  <c r="G10" i="66"/>
  <c r="G154" i="66"/>
  <c r="D43" i="39"/>
  <c r="E109" i="38" s="1"/>
  <c r="G202" i="66"/>
  <c r="M43" i="39"/>
  <c r="E177" i="38" s="1"/>
  <c r="L43" i="39"/>
  <c r="E160" i="38" s="1"/>
  <c r="G58" i="66"/>
  <c r="I111" i="41"/>
  <c r="H105" i="41"/>
  <c r="J127" i="41"/>
  <c r="Q240" i="66"/>
  <c r="T240" i="66"/>
  <c r="I105" i="41"/>
  <c r="I127" i="41"/>
  <c r="H111" i="41"/>
  <c r="U192" i="66"/>
  <c r="J111" i="41"/>
  <c r="I113" i="41"/>
  <c r="J113" i="41"/>
  <c r="I121" i="58"/>
  <c r="O14" i="39"/>
  <c r="P14" i="39"/>
  <c r="Q14" i="39" s="1"/>
  <c r="M40" i="39"/>
  <c r="E172" i="38" s="1"/>
  <c r="G268" i="66"/>
  <c r="I125" i="41"/>
  <c r="U32" i="66"/>
  <c r="H427" i="58"/>
  <c r="G182" i="66"/>
  <c r="H428" i="58"/>
  <c r="H429" i="58"/>
  <c r="I109" i="41"/>
  <c r="I439" i="58"/>
  <c r="I438" i="58"/>
  <c r="I110" i="41"/>
  <c r="D13" i="39" s="1"/>
  <c r="L40" i="39"/>
  <c r="E155" i="38" s="1"/>
  <c r="G220" i="66"/>
  <c r="J105" i="41"/>
  <c r="J125" i="41"/>
  <c r="K12" i="66"/>
  <c r="K252" i="66"/>
  <c r="G38" i="66"/>
  <c r="H112" i="41"/>
  <c r="I434" i="58"/>
  <c r="I436" i="58"/>
  <c r="I435" i="58"/>
  <c r="I437" i="58"/>
  <c r="D40" i="39"/>
  <c r="E104" i="38" s="1"/>
  <c r="G76" i="66"/>
  <c r="G76" i="74" s="1"/>
  <c r="J438" i="58"/>
  <c r="J439" i="58"/>
  <c r="H121" i="58"/>
  <c r="J459" i="58"/>
  <c r="K286" i="66"/>
  <c r="AA100" i="66"/>
  <c r="G250" i="66"/>
  <c r="K156" i="66"/>
  <c r="J112" i="41"/>
  <c r="J428" i="58"/>
  <c r="G278" i="66"/>
  <c r="J429" i="58"/>
  <c r="J427" i="58"/>
  <c r="J109" i="41"/>
  <c r="J459" i="37"/>
  <c r="K142" i="66"/>
  <c r="K204" i="66"/>
  <c r="U48" i="66"/>
  <c r="G134" i="66"/>
  <c r="J435" i="58"/>
  <c r="J436" i="58"/>
  <c r="J437" i="58"/>
  <c r="J434" i="58"/>
  <c r="H127" i="41"/>
  <c r="K108" i="66"/>
  <c r="I427" i="58"/>
  <c r="I428" i="58"/>
  <c r="I429" i="58"/>
  <c r="G230" i="66"/>
  <c r="H436" i="58"/>
  <c r="H437" i="58"/>
  <c r="H434" i="58"/>
  <c r="B3" i="39"/>
  <c r="I459" i="37"/>
  <c r="K94" i="66"/>
  <c r="I112" i="41"/>
  <c r="G86" i="66"/>
  <c r="H109" i="41"/>
  <c r="E43" i="39"/>
  <c r="E126" i="38" s="1"/>
  <c r="H110" i="41"/>
  <c r="B4" i="39" s="1"/>
  <c r="H476" i="58" s="1"/>
  <c r="G28" i="66"/>
  <c r="H438" i="58"/>
  <c r="H113" i="41"/>
  <c r="E40" i="39"/>
  <c r="E121" i="38" s="1"/>
  <c r="J110" i="41"/>
  <c r="E13" i="39" s="1"/>
  <c r="G124" i="66"/>
  <c r="N5" i="41"/>
  <c r="G106" i="66"/>
  <c r="G172" i="66"/>
  <c r="H125" i="41"/>
  <c r="H477" i="41"/>
  <c r="E352" i="38"/>
  <c r="K60" i="66"/>
  <c r="K60" i="74" s="1"/>
  <c r="T60" i="74" s="1"/>
  <c r="I459" i="58"/>
  <c r="K238" i="66"/>
  <c r="J121" i="58"/>
  <c r="S176" i="66"/>
  <c r="T176" i="66"/>
  <c r="Q176" i="66"/>
  <c r="O4" i="74" l="1"/>
  <c r="K142" i="74"/>
  <c r="X142" i="74" s="1"/>
  <c r="AC52" i="74"/>
  <c r="AD52" i="74" s="1"/>
  <c r="Y48" i="74"/>
  <c r="AA244" i="66"/>
  <c r="K108" i="74"/>
  <c r="Q108" i="74" s="1"/>
  <c r="G28" i="74"/>
  <c r="Z244" i="66"/>
  <c r="AA143" i="66"/>
  <c r="G38" i="74"/>
  <c r="O38" i="74" s="1"/>
  <c r="AA143" i="74"/>
  <c r="G106" i="74"/>
  <c r="G10" i="74"/>
  <c r="U32" i="74"/>
  <c r="G86" i="74"/>
  <c r="O86" i="74" s="1"/>
  <c r="AA47" i="66"/>
  <c r="Q142" i="74"/>
  <c r="U48" i="74"/>
  <c r="AD100" i="74"/>
  <c r="C3" i="75" s="1"/>
  <c r="C18" i="75"/>
  <c r="AD4" i="74"/>
  <c r="B3" i="75" s="1"/>
  <c r="B18" i="75"/>
  <c r="G134" i="74"/>
  <c r="T142" i="74"/>
  <c r="Y32" i="74"/>
  <c r="AA287" i="66"/>
  <c r="Q80" i="74"/>
  <c r="X80" i="74"/>
  <c r="T80" i="74"/>
  <c r="O47" i="74"/>
  <c r="Z47" i="74" s="1"/>
  <c r="AC47" i="74"/>
  <c r="AD47" i="74" s="1"/>
  <c r="G58" i="74"/>
  <c r="X60" i="74"/>
  <c r="Q60" i="74"/>
  <c r="K12" i="74"/>
  <c r="K94" i="74"/>
  <c r="G124" i="74"/>
  <c r="G221" i="66"/>
  <c r="G236" i="66"/>
  <c r="L12" i="66"/>
  <c r="L12" i="74" s="1"/>
  <c r="G225" i="66"/>
  <c r="G173" i="66"/>
  <c r="G269" i="66"/>
  <c r="AA52" i="74"/>
  <c r="G187" i="66"/>
  <c r="O187" i="66" s="1"/>
  <c r="K58" i="66"/>
  <c r="G273" i="66"/>
  <c r="O273" i="66" s="1"/>
  <c r="G283" i="66"/>
  <c r="O283" i="66" s="1"/>
  <c r="G284" i="66"/>
  <c r="G253" i="66"/>
  <c r="AB253" i="66" s="1"/>
  <c r="AC253" i="66" s="1"/>
  <c r="Z100" i="74"/>
  <c r="AA100" i="74"/>
  <c r="G177" i="66"/>
  <c r="O177" i="66" s="1"/>
  <c r="G157" i="66"/>
  <c r="AB157" i="66" s="1"/>
  <c r="AC157" i="66" s="1"/>
  <c r="G188" i="66"/>
  <c r="G235" i="66"/>
  <c r="O235" i="66" s="1"/>
  <c r="G205" i="66"/>
  <c r="AB205" i="66" s="1"/>
  <c r="AC205" i="66" s="1"/>
  <c r="AA4" i="74"/>
  <c r="Z4" i="74"/>
  <c r="AA148" i="66"/>
  <c r="AA4" i="66"/>
  <c r="Z148" i="66"/>
  <c r="AA95" i="66"/>
  <c r="Z239" i="66"/>
  <c r="Z95" i="66"/>
  <c r="AA196" i="66"/>
  <c r="AA52" i="66"/>
  <c r="Z196" i="66"/>
  <c r="AB182" i="66"/>
  <c r="AC182" i="66" s="1"/>
  <c r="AB86" i="66"/>
  <c r="AC86" i="66" s="1"/>
  <c r="AB278" i="66"/>
  <c r="AC278" i="66" s="1"/>
  <c r="AB225" i="66"/>
  <c r="AC225" i="66" s="1"/>
  <c r="AB230" i="66"/>
  <c r="AC230" i="66" s="1"/>
  <c r="AB38" i="66"/>
  <c r="AC38" i="66" s="1"/>
  <c r="AB134" i="66"/>
  <c r="AC134" i="66" s="1"/>
  <c r="O134" i="66"/>
  <c r="O225" i="66"/>
  <c r="Z191" i="66"/>
  <c r="Z47" i="66"/>
  <c r="O38" i="66"/>
  <c r="O86" i="66"/>
  <c r="O230" i="66"/>
  <c r="Z287" i="66"/>
  <c r="O182" i="66"/>
  <c r="Z143" i="66"/>
  <c r="O278" i="66"/>
  <c r="H475" i="58"/>
  <c r="E368" i="38" s="1"/>
  <c r="H475" i="37"/>
  <c r="E350" i="38" s="1"/>
  <c r="H476" i="37"/>
  <c r="E351" i="38" s="1"/>
  <c r="C12" i="39"/>
  <c r="P12" i="39" s="1"/>
  <c r="K40" i="39"/>
  <c r="E138" i="38" s="1"/>
  <c r="E16" i="39"/>
  <c r="K250" i="66"/>
  <c r="K202" i="66"/>
  <c r="D16" i="39"/>
  <c r="B7" i="39"/>
  <c r="H478" i="37" s="1"/>
  <c r="H428" i="41"/>
  <c r="U176" i="66"/>
  <c r="J121" i="41"/>
  <c r="I428" i="41"/>
  <c r="J439" i="41"/>
  <c r="J436" i="41"/>
  <c r="G140" i="66"/>
  <c r="I461" i="37"/>
  <c r="C20" i="63" s="1"/>
  <c r="K76" i="66"/>
  <c r="Q60" i="66"/>
  <c r="T60" i="66"/>
  <c r="J461" i="37"/>
  <c r="C30" i="63" s="1"/>
  <c r="K124" i="66"/>
  <c r="H434" i="41"/>
  <c r="G33" i="66"/>
  <c r="G33" i="74" s="1"/>
  <c r="T252" i="66"/>
  <c r="Q252" i="66"/>
  <c r="I436" i="41"/>
  <c r="G92" i="66"/>
  <c r="T204" i="66"/>
  <c r="Q204" i="66"/>
  <c r="I427" i="41"/>
  <c r="D15" i="39" s="1"/>
  <c r="AB3" i="39" s="1"/>
  <c r="D42" i="39"/>
  <c r="E106" i="38" s="1"/>
  <c r="G93" i="66"/>
  <c r="I437" i="41"/>
  <c r="G91" i="66"/>
  <c r="G91" i="74" s="1"/>
  <c r="Q58" i="66"/>
  <c r="T58" i="66"/>
  <c r="J461" i="58"/>
  <c r="C60" i="63" s="1"/>
  <c r="K268" i="66"/>
  <c r="H436" i="41"/>
  <c r="G44" i="66"/>
  <c r="G44" i="74" s="1"/>
  <c r="G109" i="66"/>
  <c r="G109" i="74" s="1"/>
  <c r="J438" i="41"/>
  <c r="H438" i="41"/>
  <c r="G13" i="66"/>
  <c r="G13" i="74" s="1"/>
  <c r="J428" i="41"/>
  <c r="H427" i="41"/>
  <c r="I434" i="41"/>
  <c r="G81" i="66"/>
  <c r="G81" i="74" s="1"/>
  <c r="I121" i="41"/>
  <c r="I429" i="41"/>
  <c r="G77" i="66"/>
  <c r="K106" i="66"/>
  <c r="G237" i="66"/>
  <c r="L42" i="39"/>
  <c r="E157" i="38" s="1"/>
  <c r="C13" i="39"/>
  <c r="E369" i="38"/>
  <c r="I459" i="41"/>
  <c r="S156" i="66"/>
  <c r="T156" i="66"/>
  <c r="Q156" i="66"/>
  <c r="H121" i="41"/>
  <c r="Q238" i="66"/>
  <c r="T238" i="66"/>
  <c r="G29" i="66"/>
  <c r="G29" i="74" s="1"/>
  <c r="H429" i="41"/>
  <c r="I461" i="58"/>
  <c r="K220" i="66"/>
  <c r="J437" i="41"/>
  <c r="G139" i="66"/>
  <c r="C40" i="39"/>
  <c r="E87" i="38" s="1"/>
  <c r="C39" i="39"/>
  <c r="E86" i="38" s="1"/>
  <c r="K39" i="39"/>
  <c r="E137" i="38" s="1"/>
  <c r="J435" i="41"/>
  <c r="T286" i="66"/>
  <c r="Q286" i="66"/>
  <c r="Q12" i="66"/>
  <c r="S12" i="66"/>
  <c r="T12" i="66"/>
  <c r="I439" i="41"/>
  <c r="G125" i="66"/>
  <c r="G125" i="74" s="1"/>
  <c r="J429" i="41"/>
  <c r="J434" i="41"/>
  <c r="G129" i="66"/>
  <c r="I438" i="41"/>
  <c r="G61" i="66"/>
  <c r="Q94" i="66"/>
  <c r="T94" i="66"/>
  <c r="H437" i="41"/>
  <c r="G43" i="66"/>
  <c r="G43" i="74" s="1"/>
  <c r="T142" i="66"/>
  <c r="Q142" i="66"/>
  <c r="T108" i="66"/>
  <c r="Q108" i="66"/>
  <c r="J427" i="41"/>
  <c r="E15" i="39" s="1"/>
  <c r="AC3" i="39" s="1"/>
  <c r="G141" i="66"/>
  <c r="E42" i="39"/>
  <c r="E123" i="38" s="1"/>
  <c r="J459" i="41"/>
  <c r="I435" i="41"/>
  <c r="G285" i="66"/>
  <c r="M42" i="39"/>
  <c r="E174" i="38" s="1"/>
  <c r="G61" i="74" l="1"/>
  <c r="AC61" i="74" s="1"/>
  <c r="AD61" i="74" s="1"/>
  <c r="AB283" i="66"/>
  <c r="AC283" i="66" s="1"/>
  <c r="G129" i="74"/>
  <c r="AC129" i="74" s="1"/>
  <c r="AD129" i="74" s="1"/>
  <c r="G139" i="74"/>
  <c r="O205" i="66"/>
  <c r="X108" i="74"/>
  <c r="T108" i="74"/>
  <c r="AB235" i="66"/>
  <c r="AC235" i="66" s="1"/>
  <c r="E18" i="75"/>
  <c r="E3" i="75"/>
  <c r="G92" i="74"/>
  <c r="O157" i="66"/>
  <c r="AC38" i="74"/>
  <c r="AD38" i="74" s="1"/>
  <c r="AA47" i="74"/>
  <c r="O253" i="66"/>
  <c r="AC86" i="74"/>
  <c r="AD86" i="74" s="1"/>
  <c r="Z38" i="74"/>
  <c r="AA38" i="74"/>
  <c r="G140" i="74"/>
  <c r="G141" i="74"/>
  <c r="AA230" i="66"/>
  <c r="Z230" i="66"/>
  <c r="AA86" i="66"/>
  <c r="Z86" i="66"/>
  <c r="AB177" i="66"/>
  <c r="AC177" i="66" s="1"/>
  <c r="AA38" i="66"/>
  <c r="O61" i="74"/>
  <c r="K58" i="74"/>
  <c r="T58" i="74" s="1"/>
  <c r="O81" i="74"/>
  <c r="AC81" i="74"/>
  <c r="AD81" i="74" s="1"/>
  <c r="AC139" i="74"/>
  <c r="AD139" i="74" s="1"/>
  <c r="O139" i="74"/>
  <c r="Q94" i="74"/>
  <c r="T94" i="74"/>
  <c r="X94" i="74"/>
  <c r="O33" i="74"/>
  <c r="AC33" i="74"/>
  <c r="AD33" i="74" s="1"/>
  <c r="Q12" i="74"/>
  <c r="W12" i="74" s="1"/>
  <c r="T12" i="74"/>
  <c r="S12" i="74"/>
  <c r="X12" i="74"/>
  <c r="O91" i="74"/>
  <c r="AC91" i="74"/>
  <c r="AD91" i="74" s="1"/>
  <c r="AA86" i="74"/>
  <c r="Z86" i="74"/>
  <c r="K124" i="74"/>
  <c r="AC13" i="74"/>
  <c r="O13" i="74"/>
  <c r="G93" i="74"/>
  <c r="K106" i="74"/>
  <c r="AB273" i="66"/>
  <c r="AC273" i="66" s="1"/>
  <c r="AC43" i="74"/>
  <c r="AD43" i="74" s="1"/>
  <c r="O43" i="74"/>
  <c r="G77" i="74"/>
  <c r="AB187" i="66"/>
  <c r="AC187" i="66" s="1"/>
  <c r="AC109" i="74"/>
  <c r="O109" i="74"/>
  <c r="K76" i="74"/>
  <c r="O134" i="74"/>
  <c r="AC134" i="74"/>
  <c r="AD134" i="74" s="1"/>
  <c r="H461" i="58"/>
  <c r="L190" i="66"/>
  <c r="L172" i="66"/>
  <c r="AA182" i="66"/>
  <c r="Z38" i="66"/>
  <c r="Z134" i="66"/>
  <c r="AB129" i="66"/>
  <c r="AC129" i="66" s="1"/>
  <c r="AB139" i="66"/>
  <c r="AC139" i="66" s="1"/>
  <c r="AB33" i="66"/>
  <c r="AC33" i="66" s="1"/>
  <c r="AB43" i="66"/>
  <c r="AC43" i="66" s="1"/>
  <c r="AB91" i="66"/>
  <c r="AC91" i="66" s="1"/>
  <c r="AB61" i="66"/>
  <c r="AC61" i="66" s="1"/>
  <c r="AB13" i="66"/>
  <c r="AC13" i="66" s="1"/>
  <c r="AB109" i="66"/>
  <c r="AC109" i="66" s="1"/>
  <c r="AB81" i="66"/>
  <c r="AC81" i="66" s="1"/>
  <c r="AA134" i="66"/>
  <c r="Z278" i="66"/>
  <c r="AA278" i="66"/>
  <c r="Z182" i="66"/>
  <c r="O91" i="66"/>
  <c r="Z235" i="66" s="1"/>
  <c r="O43" i="66"/>
  <c r="Z187" i="66" s="1"/>
  <c r="O61" i="66"/>
  <c r="AA205" i="66" s="1"/>
  <c r="O13" i="66"/>
  <c r="O139" i="66"/>
  <c r="AA139" i="66" s="1"/>
  <c r="O33" i="66"/>
  <c r="AA177" i="66" s="1"/>
  <c r="O109" i="66"/>
  <c r="Z253" i="66" s="1"/>
  <c r="O81" i="66"/>
  <c r="AA81" i="66" s="1"/>
  <c r="O129" i="66"/>
  <c r="AA273" i="66" s="1"/>
  <c r="O12" i="39"/>
  <c r="H460" i="37"/>
  <c r="K172" i="66"/>
  <c r="S172" i="66" s="1"/>
  <c r="Q250" i="66"/>
  <c r="T250" i="66"/>
  <c r="C16" i="39"/>
  <c r="O16" i="39" s="1"/>
  <c r="K43" i="39"/>
  <c r="E143" i="38" s="1"/>
  <c r="C43" i="39"/>
  <c r="E92" i="38" s="1"/>
  <c r="H478" i="58"/>
  <c r="E371" i="38" s="1"/>
  <c r="T202" i="66"/>
  <c r="Q202" i="66"/>
  <c r="I461" i="41"/>
  <c r="U12" i="66"/>
  <c r="C50" i="63"/>
  <c r="U156" i="66"/>
  <c r="K285" i="66"/>
  <c r="O285" i="66" s="1"/>
  <c r="L28" i="66"/>
  <c r="L28" i="74" s="1"/>
  <c r="H476" i="41"/>
  <c r="P13" i="39"/>
  <c r="Q13" i="39" s="1"/>
  <c r="O13" i="39"/>
  <c r="Z91" i="66"/>
  <c r="AA235" i="66"/>
  <c r="T124" i="66"/>
  <c r="Q124" i="66"/>
  <c r="J461" i="41"/>
  <c r="T220" i="66"/>
  <c r="Q220" i="66"/>
  <c r="Q76" i="66"/>
  <c r="T76" i="66"/>
  <c r="H461" i="37"/>
  <c r="K28" i="66"/>
  <c r="K93" i="66"/>
  <c r="K237" i="66"/>
  <c r="O237" i="66" s="1"/>
  <c r="K190" i="66"/>
  <c r="H459" i="58"/>
  <c r="K141" i="66"/>
  <c r="T106" i="66"/>
  <c r="Q106" i="66"/>
  <c r="E353" i="38"/>
  <c r="L46" i="66"/>
  <c r="L46" i="74" s="1"/>
  <c r="H475" i="41"/>
  <c r="Q268" i="66"/>
  <c r="T268" i="66"/>
  <c r="Q12" i="39"/>
  <c r="Z129" i="66"/>
  <c r="K46" i="66"/>
  <c r="K46" i="74" s="1"/>
  <c r="T46" i="74" s="1"/>
  <c r="H459" i="37"/>
  <c r="Z205" i="66" l="1"/>
  <c r="Z283" i="66"/>
  <c r="AA283" i="66"/>
  <c r="O129" i="74"/>
  <c r="AA187" i="66"/>
  <c r="Z13" i="66"/>
  <c r="Z273" i="66"/>
  <c r="K28" i="74"/>
  <c r="T28" i="74" s="1"/>
  <c r="AA43" i="66"/>
  <c r="Y12" i="74"/>
  <c r="Z43" i="66"/>
  <c r="Q58" i="74"/>
  <c r="U12" i="74"/>
  <c r="X58" i="74"/>
  <c r="AD13" i="74"/>
  <c r="B5" i="75" s="1"/>
  <c r="E5" i="75" s="1"/>
  <c r="B20" i="75"/>
  <c r="E20" i="75" s="1"/>
  <c r="AD109" i="74"/>
  <c r="C5" i="75" s="1"/>
  <c r="C20" i="75"/>
  <c r="X46" i="74"/>
  <c r="S28" i="74"/>
  <c r="O141" i="66"/>
  <c r="P285" i="66" s="1"/>
  <c r="K141" i="74"/>
  <c r="X106" i="74"/>
  <c r="Q106" i="74"/>
  <c r="T106" i="74"/>
  <c r="AA134" i="74"/>
  <c r="Z134" i="74"/>
  <c r="Q46" i="74"/>
  <c r="W46" i="74" s="1"/>
  <c r="T76" i="74"/>
  <c r="Q76" i="74"/>
  <c r="X76" i="74"/>
  <c r="S46" i="74"/>
  <c r="U46" i="74" s="1"/>
  <c r="O93" i="66"/>
  <c r="AA237" i="66" s="1"/>
  <c r="K93" i="74"/>
  <c r="AC93" i="74" s="1"/>
  <c r="AD93" i="74" s="1"/>
  <c r="Q124" i="74"/>
  <c r="X124" i="74"/>
  <c r="T124" i="74"/>
  <c r="L154" i="66"/>
  <c r="K10" i="66"/>
  <c r="Q10" i="66" s="1"/>
  <c r="AA81" i="74"/>
  <c r="Z81" i="74"/>
  <c r="AA129" i="66"/>
  <c r="Z139" i="66"/>
  <c r="AA157" i="66"/>
  <c r="AA129" i="74"/>
  <c r="Z129" i="74"/>
  <c r="AA139" i="74"/>
  <c r="Z139" i="74"/>
  <c r="AA225" i="66"/>
  <c r="U28" i="74"/>
  <c r="Z43" i="74"/>
  <c r="AA43" i="74"/>
  <c r="Z91" i="74"/>
  <c r="AA91" i="74"/>
  <c r="AA33" i="74"/>
  <c r="Z33" i="74"/>
  <c r="Z109" i="74"/>
  <c r="AA109" i="74"/>
  <c r="AA13" i="74"/>
  <c r="Z13" i="74"/>
  <c r="L10" i="66"/>
  <c r="AA61" i="74"/>
  <c r="Z61" i="74"/>
  <c r="AA33" i="66"/>
  <c r="Z177" i="66"/>
  <c r="Z109" i="66"/>
  <c r="AA253" i="66"/>
  <c r="AA109" i="66"/>
  <c r="Z33" i="66"/>
  <c r="AB141" i="66"/>
  <c r="AC141" i="66" s="1"/>
  <c r="AB93" i="66"/>
  <c r="AC93" i="66" s="1"/>
  <c r="AB237" i="66"/>
  <c r="AC237" i="66" s="1"/>
  <c r="AB285" i="66"/>
  <c r="AC285" i="66" s="1"/>
  <c r="Z81" i="66"/>
  <c r="Z225" i="66"/>
  <c r="AA91" i="66"/>
  <c r="Z61" i="66"/>
  <c r="AA61" i="66"/>
  <c r="AA13" i="66"/>
  <c r="Z157" i="66"/>
  <c r="Q172" i="66"/>
  <c r="T172" i="66"/>
  <c r="U172" i="66" s="1"/>
  <c r="G15" i="39"/>
  <c r="F15" i="39"/>
  <c r="K154" i="66"/>
  <c r="S154" i="66" s="1"/>
  <c r="P16" i="39"/>
  <c r="Q16" i="39" s="1"/>
  <c r="H478" i="41"/>
  <c r="H459" i="41"/>
  <c r="C40" i="63"/>
  <c r="Z93" i="66"/>
  <c r="Q237" i="66"/>
  <c r="T237" i="66"/>
  <c r="S190" i="66"/>
  <c r="T190" i="66"/>
  <c r="Q190" i="66"/>
  <c r="Q141" i="66"/>
  <c r="T141" i="66"/>
  <c r="Q93" i="66"/>
  <c r="T93" i="66"/>
  <c r="Q285" i="66"/>
  <c r="T285" i="66"/>
  <c r="T46" i="66"/>
  <c r="Q46" i="66"/>
  <c r="S46" i="66"/>
  <c r="T28" i="66"/>
  <c r="Q28" i="66"/>
  <c r="S28" i="66"/>
  <c r="C10" i="63"/>
  <c r="H461" i="41"/>
  <c r="L10" i="74" l="1"/>
  <c r="AA141" i="66"/>
  <c r="Z285" i="66"/>
  <c r="Z237" i="66"/>
  <c r="AA93" i="66"/>
  <c r="P93" i="66"/>
  <c r="R93" i="66" s="1"/>
  <c r="S93" i="66" s="1"/>
  <c r="U93" i="66" s="1"/>
  <c r="P237" i="66"/>
  <c r="R237" i="66" s="1"/>
  <c r="S237" i="66" s="1"/>
  <c r="U237" i="66" s="1"/>
  <c r="S10" i="66"/>
  <c r="T10" i="66"/>
  <c r="Q28" i="74"/>
  <c r="W28" i="74" s="1"/>
  <c r="X28" i="74"/>
  <c r="Y46" i="74"/>
  <c r="Z141" i="66"/>
  <c r="P141" i="66"/>
  <c r="R141" i="66" s="1"/>
  <c r="S141" i="66" s="1"/>
  <c r="U141" i="66" s="1"/>
  <c r="AA285" i="66"/>
  <c r="Q93" i="74"/>
  <c r="O93" i="74"/>
  <c r="X93" i="74"/>
  <c r="T93" i="74"/>
  <c r="X141" i="74"/>
  <c r="Q141" i="74"/>
  <c r="T141" i="74"/>
  <c r="O141" i="74"/>
  <c r="AC141" i="74"/>
  <c r="AD141" i="74" s="1"/>
  <c r="K10" i="74"/>
  <c r="Q10" i="74" s="1"/>
  <c r="W10" i="74" s="1"/>
  <c r="T154" i="66"/>
  <c r="U154" i="66" s="1"/>
  <c r="Q154" i="66"/>
  <c r="U28" i="66"/>
  <c r="U190" i="66"/>
  <c r="U46" i="66"/>
  <c r="R285" i="66"/>
  <c r="S285" i="66" s="1"/>
  <c r="U285" i="66" s="1"/>
  <c r="Y28" i="74" l="1"/>
  <c r="U10" i="66"/>
  <c r="S10" i="74"/>
  <c r="P141" i="74"/>
  <c r="AA141" i="74"/>
  <c r="Z141" i="74"/>
  <c r="X10" i="74"/>
  <c r="Y10" i="74" s="1"/>
  <c r="T10" i="74"/>
  <c r="P93" i="74"/>
  <c r="Z93" i="74"/>
  <c r="AA93" i="74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U10" i="74" l="1"/>
  <c r="W93" i="74"/>
  <c r="Y93" i="74" s="1"/>
  <c r="R93" i="74"/>
  <c r="S93" i="74" s="1"/>
  <c r="U93" i="74" s="1"/>
  <c r="V93" i="74"/>
  <c r="R141" i="74"/>
  <c r="S141" i="74" s="1"/>
  <c r="U141" i="74" s="1"/>
  <c r="V141" i="74"/>
  <c r="W141" i="74"/>
  <c r="Y141" i="74" s="1"/>
  <c r="F2" i="72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G45" i="66"/>
  <c r="G189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D4" i="9" l="1"/>
  <c r="C4" i="9" s="1"/>
  <c r="C3" i="9"/>
  <c r="G45" i="74"/>
  <c r="U5" i="9"/>
  <c r="U7" i="9"/>
  <c r="V5" i="9"/>
  <c r="U9" i="9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V7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Q15" i="39"/>
  <c r="K45" i="66"/>
  <c r="K189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K45" i="74" l="1"/>
  <c r="AB189" i="66"/>
  <c r="AC189" i="66" s="1"/>
  <c r="AB45" i="66"/>
  <c r="AC45" i="66" s="1"/>
  <c r="D47" i="17" a="1"/>
  <c r="D47" i="17" s="1"/>
  <c r="F35" i="20" s="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E48" i="17"/>
  <c r="E47" i="17" a="1"/>
  <c r="E47" i="17" s="1"/>
  <c r="D48" i="17"/>
  <c r="P10" i="9"/>
  <c r="T189" i="66"/>
  <c r="Q189" i="66"/>
  <c r="S189" i="66"/>
  <c r="O189" i="66"/>
  <c r="T45" i="66"/>
  <c r="Q45" i="66"/>
  <c r="S45" i="66"/>
  <c r="O45" i="66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Q45" i="74" l="1"/>
  <c r="W45" i="74" s="1"/>
  <c r="S45" i="74"/>
  <c r="X45" i="74"/>
  <c r="T45" i="74"/>
  <c r="O45" i="74"/>
  <c r="AC45" i="74"/>
  <c r="AD45" i="74" s="1"/>
  <c r="O45" i="20"/>
  <c r="O11" i="20"/>
  <c r="F39" i="20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U189" i="66"/>
  <c r="P189" i="66"/>
  <c r="R189" i="66" s="1"/>
  <c r="U45" i="66"/>
  <c r="P45" i="66"/>
  <c r="Z45" i="66"/>
  <c r="AA189" i="66"/>
  <c r="Z189" i="66"/>
  <c r="AA45" i="66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U45" i="74" l="1"/>
  <c r="Y45" i="74"/>
  <c r="P45" i="74"/>
  <c r="Z45" i="74"/>
  <c r="AA45" i="74"/>
  <c r="R45" i="66"/>
  <c r="V45" i="74" l="1"/>
  <c r="R45" i="74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59" i="18"/>
  <c r="F59" i="18" s="1"/>
  <c r="I238" i="37"/>
  <c r="I142" i="37"/>
  <c r="I226" i="37"/>
  <c r="I334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F69" i="18"/>
  <c r="J28" i="18"/>
  <c r="J27" i="18"/>
  <c r="J59" i="18"/>
  <c r="F25" i="18"/>
  <c r="F18" i="18"/>
  <c r="F71" i="18"/>
  <c r="J334" i="37"/>
  <c r="J346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E269" i="38"/>
  <c r="H460" i="58"/>
  <c r="E242" i="38"/>
  <c r="E234" i="38"/>
  <c r="I462" i="37"/>
  <c r="I462" i="58"/>
  <c r="E261" i="38"/>
  <c r="E216" i="38"/>
  <c r="E255" i="38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E222" i="38"/>
  <c r="H473" i="37"/>
  <c r="H473" i="58"/>
  <c r="H468" i="37"/>
  <c r="H468" i="58"/>
  <c r="E240" i="38"/>
  <c r="H10" i="66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E228" i="38"/>
  <c r="E220" i="38"/>
  <c r="E265" i="38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H12" i="66"/>
  <c r="E207" i="38"/>
  <c r="E252" i="38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H28" i="66"/>
  <c r="E237" i="38"/>
  <c r="E217" i="38"/>
  <c r="E262" i="38"/>
  <c r="E213" i="38"/>
  <c r="E258" i="38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E376" i="38"/>
  <c r="E375" i="38"/>
  <c r="I478" i="58"/>
  <c r="E377" i="38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H23" i="66"/>
  <c r="E244" i="38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E209" i="38"/>
  <c r="E250" i="38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E225" i="38"/>
  <c r="H462" i="58"/>
  <c r="H462" i="37"/>
  <c r="E243" i="38"/>
  <c r="H6" i="66"/>
  <c r="E235" i="38"/>
  <c r="H46" i="66"/>
  <c r="I463" i="37"/>
  <c r="I463" i="58"/>
  <c r="E253" i="38"/>
  <c r="E208" i="38"/>
  <c r="E251" i="38"/>
  <c r="E206" i="38"/>
  <c r="H190" i="66" l="1"/>
  <c r="H46" i="74" s="1"/>
  <c r="H167" i="66"/>
  <c r="H23" i="74" s="1"/>
  <c r="H172" i="66"/>
  <c r="AB172" i="66" s="1"/>
  <c r="AC172" i="66" s="1"/>
  <c r="H156" i="66"/>
  <c r="H12" i="74" s="1"/>
  <c r="H204" i="66"/>
  <c r="L202" i="66"/>
  <c r="H252" i="66"/>
  <c r="L220" i="66"/>
  <c r="H108" i="66"/>
  <c r="L204" i="66"/>
  <c r="H286" i="66"/>
  <c r="L238" i="66"/>
  <c r="H142" i="66"/>
  <c r="H124" i="66"/>
  <c r="H102" i="66"/>
  <c r="H268" i="66"/>
  <c r="H202" i="66"/>
  <c r="H150" i="66"/>
  <c r="H6" i="74" s="1"/>
  <c r="H246" i="66"/>
  <c r="H238" i="66"/>
  <c r="AB238" i="66" s="1"/>
  <c r="AC238" i="66" s="1"/>
  <c r="H198" i="66"/>
  <c r="H220" i="66"/>
  <c r="H250" i="66"/>
  <c r="H106" i="66"/>
  <c r="H154" i="66"/>
  <c r="AB154" i="66" s="1"/>
  <c r="AC154" i="66" s="1"/>
  <c r="AB12" i="66"/>
  <c r="AC12" i="66" s="1"/>
  <c r="AB28" i="66"/>
  <c r="AC28" i="66" s="1"/>
  <c r="AB46" i="66"/>
  <c r="AC46" i="66" s="1"/>
  <c r="AB190" i="66"/>
  <c r="AC190" i="66" s="1"/>
  <c r="AB10" i="66"/>
  <c r="AC10" i="66" s="1"/>
  <c r="O46" i="66"/>
  <c r="O12" i="66"/>
  <c r="O28" i="66"/>
  <c r="O190" i="66"/>
  <c r="O156" i="66"/>
  <c r="O10" i="66"/>
  <c r="G171" i="41"/>
  <c r="H171" i="37"/>
  <c r="G225" i="41"/>
  <c r="H225" i="37"/>
  <c r="I225" i="37"/>
  <c r="G329" i="41"/>
  <c r="H329" i="37"/>
  <c r="G387" i="41"/>
  <c r="H387" i="37"/>
  <c r="I387" i="37"/>
  <c r="G324" i="41"/>
  <c r="H324" i="37"/>
  <c r="I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I175" i="37"/>
  <c r="G252" i="41"/>
  <c r="H252" i="37"/>
  <c r="G300" i="41"/>
  <c r="H300" i="37"/>
  <c r="G357" i="41"/>
  <c r="H357" i="37"/>
  <c r="I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I370" i="37"/>
  <c r="G192" i="41"/>
  <c r="H192" i="37"/>
  <c r="G339" i="41"/>
  <c r="H339" i="37"/>
  <c r="J357" i="37"/>
  <c r="G416" i="41"/>
  <c r="H416" i="37"/>
  <c r="I416" i="37"/>
  <c r="G170" i="41"/>
  <c r="H170" i="37"/>
  <c r="G283" i="41"/>
  <c r="H283" i="37"/>
  <c r="J387" i="37"/>
  <c r="G179" i="41"/>
  <c r="H179" i="37"/>
  <c r="G236" i="41"/>
  <c r="H236" i="37"/>
  <c r="G340" i="41"/>
  <c r="H340" i="37"/>
  <c r="G367" i="41"/>
  <c r="H367" i="37"/>
  <c r="G143" i="41"/>
  <c r="H143" i="37"/>
  <c r="I143" i="37"/>
  <c r="G202" i="41"/>
  <c r="H202" i="37"/>
  <c r="G256" i="41"/>
  <c r="H256" i="37"/>
  <c r="G414" i="41"/>
  <c r="H414" i="37"/>
  <c r="I414" i="37"/>
  <c r="G196" i="41"/>
  <c r="H196" i="37"/>
  <c r="G250" i="41"/>
  <c r="H250" i="37"/>
  <c r="I250" i="37"/>
  <c r="G298" i="41"/>
  <c r="H298" i="37"/>
  <c r="G355" i="41"/>
  <c r="H355" i="37"/>
  <c r="G251" i="41"/>
  <c r="H251" i="37"/>
  <c r="I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I359" i="37"/>
  <c r="G409" i="41"/>
  <c r="H409" i="37"/>
  <c r="G383" i="41"/>
  <c r="H383" i="37"/>
  <c r="G199" i="41"/>
  <c r="H199" i="37"/>
  <c r="I199" i="37"/>
  <c r="G178" i="41"/>
  <c r="H178" i="37"/>
  <c r="G304" i="41"/>
  <c r="H304" i="37"/>
  <c r="I304" i="37"/>
  <c r="G363" i="41"/>
  <c r="H363" i="37"/>
  <c r="G412" i="41"/>
  <c r="H412" i="37"/>
  <c r="G399" i="41"/>
  <c r="H399" i="37"/>
  <c r="G281" i="41"/>
  <c r="H281" i="37"/>
  <c r="G335" i="41"/>
  <c r="H335" i="37"/>
  <c r="I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I268" i="37"/>
  <c r="G376" i="41"/>
  <c r="H376" i="37"/>
  <c r="G200" i="41"/>
  <c r="H200" i="37"/>
  <c r="I200" i="37"/>
  <c r="G328" i="41"/>
  <c r="H328" i="37"/>
  <c r="G345" i="41"/>
  <c r="H345" i="37"/>
  <c r="I345" i="37"/>
  <c r="G149" i="41"/>
  <c r="H149" i="37"/>
  <c r="G309" i="41"/>
  <c r="H309" i="37"/>
  <c r="G208" i="41"/>
  <c r="H208" i="37"/>
  <c r="I208" i="37"/>
  <c r="G224" i="41"/>
  <c r="H224" i="37"/>
  <c r="G360" i="41"/>
  <c r="H360" i="37"/>
  <c r="I360" i="37"/>
  <c r="J359" i="37"/>
  <c r="G193" i="41"/>
  <c r="H193" i="37"/>
  <c r="G295" i="41"/>
  <c r="H295" i="37"/>
  <c r="I295" i="37"/>
  <c r="G351" i="41"/>
  <c r="H351" i="37"/>
  <c r="G415" i="41"/>
  <c r="H415" i="37"/>
  <c r="I415" i="37"/>
  <c r="G153" i="41"/>
  <c r="H153" i="37"/>
  <c r="I153" i="37"/>
  <c r="G210" i="41"/>
  <c r="H210" i="37"/>
  <c r="G312" i="41"/>
  <c r="H312" i="37"/>
  <c r="I312" i="37"/>
  <c r="G173" i="41"/>
  <c r="H173" i="37"/>
  <c r="G228" i="41"/>
  <c r="H228" i="37"/>
  <c r="I228" i="37"/>
  <c r="G332" i="41"/>
  <c r="H332" i="37"/>
  <c r="G389" i="41"/>
  <c r="H389" i="37"/>
  <c r="I389" i="37"/>
  <c r="G258" i="41"/>
  <c r="H258" i="37"/>
  <c r="I258" i="37"/>
  <c r="G307" i="41"/>
  <c r="H307" i="37"/>
  <c r="G159" i="41"/>
  <c r="H159" i="37"/>
  <c r="G316" i="41"/>
  <c r="H316" i="37"/>
  <c r="G207" i="41"/>
  <c r="H207" i="37"/>
  <c r="I207" i="37"/>
  <c r="G261" i="41"/>
  <c r="H261" i="37"/>
  <c r="G369" i="41"/>
  <c r="H369" i="37"/>
  <c r="I369" i="37"/>
  <c r="G417" i="41"/>
  <c r="H417" i="37"/>
  <c r="G418" i="41"/>
  <c r="H418" i="37"/>
  <c r="G254" i="41"/>
  <c r="H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I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I276" i="37"/>
  <c r="G384" i="41"/>
  <c r="H384" i="37"/>
  <c r="G216" i="41"/>
  <c r="H216" i="37"/>
  <c r="I216" i="37"/>
  <c r="G349" i="41"/>
  <c r="H349" i="37"/>
  <c r="G407" i="41"/>
  <c r="H407" i="37"/>
  <c r="I407" i="37"/>
  <c r="G215" i="41"/>
  <c r="H215" i="37"/>
  <c r="G269" i="41"/>
  <c r="H269" i="37"/>
  <c r="I269" i="37"/>
  <c r="G377" i="41"/>
  <c r="H377" i="37"/>
  <c r="G235" i="41"/>
  <c r="H235" i="37"/>
  <c r="G386" i="41"/>
  <c r="H386" i="37"/>
  <c r="J153" i="37"/>
  <c r="J199" i="37"/>
  <c r="J258" i="37"/>
  <c r="J414" i="37"/>
  <c r="G287" i="41"/>
  <c r="H287" i="37"/>
  <c r="I287" i="37"/>
  <c r="G395" i="41"/>
  <c r="H395" i="37"/>
  <c r="G141" i="41"/>
  <c r="H141" i="37"/>
  <c r="I141" i="37"/>
  <c r="G255" i="41"/>
  <c r="H255" i="37"/>
  <c r="G303" i="41"/>
  <c r="H303" i="37"/>
  <c r="I303" i="37"/>
  <c r="G411" i="41"/>
  <c r="H411" i="37"/>
  <c r="G422" i="41"/>
  <c r="H422" i="37"/>
  <c r="G147" i="41"/>
  <c r="H147" i="37"/>
  <c r="G218" i="41"/>
  <c r="H218" i="37"/>
  <c r="I218" i="37"/>
  <c r="G380" i="41"/>
  <c r="H380" i="37"/>
  <c r="I380" i="37"/>
  <c r="G181" i="41"/>
  <c r="H181" i="37"/>
  <c r="G397" i="41"/>
  <c r="H397" i="37"/>
  <c r="I397" i="37"/>
  <c r="G156" i="41"/>
  <c r="H156" i="37"/>
  <c r="I156" i="37"/>
  <c r="G212" i="41"/>
  <c r="H212" i="37"/>
  <c r="G314" i="41"/>
  <c r="H314" i="37"/>
  <c r="I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J269" i="37"/>
  <c r="J303" i="37"/>
  <c r="J321" i="37"/>
  <c r="J260" i="37"/>
  <c r="J416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I249" i="37"/>
  <c r="G297" i="41"/>
  <c r="H297" i="37"/>
  <c r="G353" i="41"/>
  <c r="H353" i="37"/>
  <c r="G166" i="41"/>
  <c r="H166" i="37"/>
  <c r="I166" i="37"/>
  <c r="J166" i="37"/>
  <c r="G220" i="41"/>
  <c r="H220" i="37"/>
  <c r="G274" i="41"/>
  <c r="H274" i="37"/>
  <c r="G382" i="41"/>
  <c r="H382" i="37"/>
  <c r="G176" i="41"/>
  <c r="H176" i="37"/>
  <c r="I176" i="37"/>
  <c r="G232" i="41"/>
  <c r="H232" i="37"/>
  <c r="G336" i="41"/>
  <c r="H336" i="37"/>
  <c r="I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I278" i="37"/>
  <c r="J216" i="37"/>
  <c r="J208" i="37"/>
  <c r="J324" i="37"/>
  <c r="J176" i="37"/>
  <c r="J415" i="37"/>
  <c r="G394" i="41"/>
  <c r="H394" i="37"/>
  <c r="G213" i="41"/>
  <c r="H213" i="37"/>
  <c r="G227" i="41"/>
  <c r="H227" i="37"/>
  <c r="I227" i="37"/>
  <c r="G331" i="41"/>
  <c r="H331" i="37"/>
  <c r="G405" i="41"/>
  <c r="H405" i="37"/>
  <c r="I405" i="37"/>
  <c r="G323" i="41"/>
  <c r="H323" i="37"/>
  <c r="I323" i="37"/>
  <c r="G284" i="41"/>
  <c r="H284" i="37"/>
  <c r="G378" i="41"/>
  <c r="H378" i="37"/>
  <c r="I378" i="37"/>
  <c r="G277" i="41"/>
  <c r="H277" i="37"/>
  <c r="I277" i="37"/>
  <c r="G270" i="41"/>
  <c r="H270" i="37"/>
  <c r="G286" i="41"/>
  <c r="H286" i="37"/>
  <c r="I286" i="37"/>
  <c r="G241" i="41"/>
  <c r="H241" i="37"/>
  <c r="J218" i="37"/>
  <c r="J304" i="37"/>
  <c r="J207" i="37"/>
  <c r="J239" i="37"/>
  <c r="J175" i="37"/>
  <c r="J336" i="37"/>
  <c r="G279" i="41"/>
  <c r="H279" i="37"/>
  <c r="G296" i="41"/>
  <c r="H296" i="37"/>
  <c r="I296" i="37"/>
  <c r="G356" i="41"/>
  <c r="H356" i="37"/>
  <c r="G219" i="41"/>
  <c r="H219" i="37"/>
  <c r="G267" i="41"/>
  <c r="H267" i="37"/>
  <c r="I267" i="37"/>
  <c r="G201" i="41"/>
  <c r="H201" i="37"/>
  <c r="G361" i="41"/>
  <c r="H361" i="37"/>
  <c r="G209" i="41"/>
  <c r="H209" i="37"/>
  <c r="I209" i="37"/>
  <c r="G311" i="41"/>
  <c r="H311" i="37"/>
  <c r="G371" i="41"/>
  <c r="H371" i="37"/>
  <c r="I371" i="37"/>
  <c r="G419" i="41"/>
  <c r="H419" i="37"/>
  <c r="G172" i="41"/>
  <c r="H172" i="37"/>
  <c r="G280" i="41"/>
  <c r="H280" i="37"/>
  <c r="G388" i="41"/>
  <c r="H388" i="37"/>
  <c r="I388" i="37"/>
  <c r="G231" i="41"/>
  <c r="H231" i="37"/>
  <c r="G144" i="41"/>
  <c r="H144" i="37"/>
  <c r="I144" i="37"/>
  <c r="G257" i="41"/>
  <c r="H257" i="37"/>
  <c r="G305" i="41"/>
  <c r="H305" i="37"/>
  <c r="I305" i="37"/>
  <c r="G413" i="41"/>
  <c r="H413" i="37"/>
  <c r="G398" i="41"/>
  <c r="H398" i="37"/>
  <c r="I398" i="37"/>
  <c r="G229" i="41"/>
  <c r="H229" i="37"/>
  <c r="G282" i="41"/>
  <c r="H282" i="37"/>
  <c r="G190" i="41"/>
  <c r="H190" i="37"/>
  <c r="I190" i="37"/>
  <c r="G292" i="41"/>
  <c r="H292" i="37"/>
  <c r="G262" i="41"/>
  <c r="H262" i="37"/>
  <c r="G402" i="41"/>
  <c r="H402" i="37"/>
  <c r="G177" i="41"/>
  <c r="H177" i="37"/>
  <c r="G285" i="41"/>
  <c r="H285" i="37"/>
  <c r="I285" i="37"/>
  <c r="G337" i="41"/>
  <c r="H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G263" i="41"/>
  <c r="H263" i="37"/>
  <c r="G180" i="41"/>
  <c r="H180" i="37"/>
  <c r="G237" i="41"/>
  <c r="H237" i="37"/>
  <c r="I237" i="37"/>
  <c r="G288" i="41"/>
  <c r="H288" i="37"/>
  <c r="G396" i="41"/>
  <c r="H396" i="37"/>
  <c r="I396" i="37"/>
  <c r="G203" i="41"/>
  <c r="H203" i="37"/>
  <c r="G364" i="41"/>
  <c r="H364" i="37"/>
  <c r="G174" i="41"/>
  <c r="H174" i="37"/>
  <c r="I174" i="37"/>
  <c r="G333" i="41"/>
  <c r="H333" i="37"/>
  <c r="I333" i="37"/>
  <c r="G406" i="41"/>
  <c r="H406" i="37"/>
  <c r="I406" i="37"/>
  <c r="G243" i="41"/>
  <c r="H243" i="37"/>
  <c r="G347" i="41"/>
  <c r="H347" i="37"/>
  <c r="I347" i="37"/>
  <c r="G400" i="41"/>
  <c r="H400" i="37"/>
  <c r="G167" i="41"/>
  <c r="H167" i="37"/>
  <c r="I167" i="37"/>
  <c r="J167" i="37"/>
  <c r="G233" i="41"/>
  <c r="H233" i="37"/>
  <c r="G393" i="41"/>
  <c r="H393" i="37"/>
  <c r="G291" i="41"/>
  <c r="H291" i="37"/>
  <c r="J144" i="37"/>
  <c r="J371" i="37"/>
  <c r="J398" i="37"/>
  <c r="J287" i="37"/>
  <c r="J276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I217" i="37"/>
  <c r="G271" i="41"/>
  <c r="H271" i="37"/>
  <c r="G379" i="41"/>
  <c r="H379" i="37"/>
  <c r="I379" i="37"/>
  <c r="G275" i="41"/>
  <c r="H275" i="37"/>
  <c r="G341" i="41"/>
  <c r="H341" i="37"/>
  <c r="G299" i="41"/>
  <c r="H299" i="37"/>
  <c r="G155" i="41"/>
  <c r="H155" i="37"/>
  <c r="I155" i="37"/>
  <c r="G211" i="41"/>
  <c r="H211" i="37"/>
  <c r="G313" i="41"/>
  <c r="H313" i="37"/>
  <c r="I313" i="37"/>
  <c r="G373" i="41"/>
  <c r="H373" i="37"/>
  <c r="G189" i="41"/>
  <c r="H189" i="37"/>
  <c r="I189" i="37"/>
  <c r="G240" i="41"/>
  <c r="H240" i="37"/>
  <c r="I240" i="37"/>
  <c r="G344" i="41"/>
  <c r="H344" i="37"/>
  <c r="G198" i="41"/>
  <c r="H198" i="37"/>
  <c r="I198" i="37"/>
  <c r="G408" i="41"/>
  <c r="H408" i="37"/>
  <c r="G191" i="41"/>
  <c r="H191" i="37"/>
  <c r="I191" i="37"/>
  <c r="G293" i="41"/>
  <c r="H293" i="37"/>
  <c r="G348" i="41"/>
  <c r="H348" i="37"/>
  <c r="I348" i="37"/>
  <c r="G315" i="41"/>
  <c r="H315" i="37"/>
  <c r="G161" i="41"/>
  <c r="H161" i="37"/>
  <c r="G318" i="41"/>
  <c r="H318" i="37"/>
  <c r="J369" i="37"/>
  <c r="J396" i="37"/>
  <c r="J294" i="37"/>
  <c r="J277" i="37"/>
  <c r="J250" i="37"/>
  <c r="J333" i="37"/>
  <c r="G13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H94" i="66"/>
  <c r="H94" i="74" s="1"/>
  <c r="H60" i="66"/>
  <c r="H58" i="66"/>
  <c r="H54" i="66"/>
  <c r="H76" i="66"/>
  <c r="O238" i="66"/>
  <c r="H468" i="41"/>
  <c r="H183" i="41"/>
  <c r="J462" i="41"/>
  <c r="H463" i="41"/>
  <c r="I468" i="41"/>
  <c r="I458" i="41"/>
  <c r="H472" i="41"/>
  <c r="J458" i="41"/>
  <c r="J469" i="41"/>
  <c r="J472" i="41"/>
  <c r="H462" i="41"/>
  <c r="I334" i="58"/>
  <c r="H11" i="66"/>
  <c r="H451" i="37"/>
  <c r="H113" i="66"/>
  <c r="J449" i="37"/>
  <c r="J450" i="37"/>
  <c r="H125" i="66"/>
  <c r="I447" i="58"/>
  <c r="H240" i="66"/>
  <c r="I416" i="58"/>
  <c r="I251" i="58"/>
  <c r="H442" i="37"/>
  <c r="H25" i="66"/>
  <c r="C37" i="63"/>
  <c r="H232" i="66"/>
  <c r="I446" i="58"/>
  <c r="H188" i="66"/>
  <c r="H453" i="58"/>
  <c r="I477" i="41"/>
  <c r="E358" i="38"/>
  <c r="H224" i="66"/>
  <c r="I448" i="58"/>
  <c r="H166" i="66"/>
  <c r="H454" i="58"/>
  <c r="H184" i="66"/>
  <c r="H446" i="58"/>
  <c r="H30" i="66"/>
  <c r="H445" i="37"/>
  <c r="H452" i="37"/>
  <c r="H18" i="66"/>
  <c r="E386" i="38"/>
  <c r="J444" i="58"/>
  <c r="H282" i="66"/>
  <c r="H164" i="66"/>
  <c r="H441" i="58"/>
  <c r="H280" i="66"/>
  <c r="J446" i="58"/>
  <c r="H426" i="58"/>
  <c r="H176" i="66"/>
  <c r="H448" i="58"/>
  <c r="H272" i="58"/>
  <c r="H442" i="58"/>
  <c r="H169" i="66"/>
  <c r="H8" i="41"/>
  <c r="C7" i="63"/>
  <c r="H44" i="66"/>
  <c r="H453" i="37"/>
  <c r="H221" i="66"/>
  <c r="I450" i="58"/>
  <c r="H260" i="66"/>
  <c r="J441" i="58"/>
  <c r="H101" i="66"/>
  <c r="J443" i="37"/>
  <c r="H184" i="41"/>
  <c r="H265" i="66"/>
  <c r="J442" i="58"/>
  <c r="I469" i="41"/>
  <c r="H452" i="58"/>
  <c r="H162" i="66"/>
  <c r="E389" i="38"/>
  <c r="H48" i="66"/>
  <c r="H447" i="37"/>
  <c r="E391" i="38"/>
  <c r="J452" i="58"/>
  <c r="H258" i="66"/>
  <c r="H440" i="58"/>
  <c r="H170" i="66"/>
  <c r="H126" i="66"/>
  <c r="J445" i="37"/>
  <c r="H20" i="66"/>
  <c r="H20" i="74" s="1"/>
  <c r="H441" i="37"/>
  <c r="H136" i="66"/>
  <c r="H136" i="74" s="1"/>
  <c r="J446" i="37"/>
  <c r="J313" i="58"/>
  <c r="I304" i="58"/>
  <c r="H196" i="58"/>
  <c r="H173" i="58"/>
  <c r="I443" i="37"/>
  <c r="H53" i="66"/>
  <c r="H450" i="37"/>
  <c r="H29" i="66"/>
  <c r="H155" i="66"/>
  <c r="H451" i="58"/>
  <c r="H77" i="66"/>
  <c r="H77" i="74" s="1"/>
  <c r="I450" i="37"/>
  <c r="H116" i="66"/>
  <c r="H116" i="74" s="1"/>
  <c r="J441" i="37"/>
  <c r="J443" i="58"/>
  <c r="H245" i="66"/>
  <c r="H121" i="66"/>
  <c r="J442" i="37"/>
  <c r="H447" i="58"/>
  <c r="H192" i="66"/>
  <c r="H114" i="66"/>
  <c r="E388" i="38"/>
  <c r="J452" i="37"/>
  <c r="H440" i="37"/>
  <c r="H26" i="66"/>
  <c r="J445" i="58"/>
  <c r="H270" i="66"/>
  <c r="H96" i="66"/>
  <c r="H96" i="74" s="1"/>
  <c r="I447" i="37"/>
  <c r="H17" i="66"/>
  <c r="H449" i="37"/>
  <c r="H262" i="66"/>
  <c r="J454" i="58"/>
  <c r="H118" i="66"/>
  <c r="J454" i="37"/>
  <c r="H140" i="66"/>
  <c r="J453" i="37"/>
  <c r="J11" i="58"/>
  <c r="I11" i="58"/>
  <c r="H11" i="58"/>
  <c r="H161" i="66"/>
  <c r="H449" i="58"/>
  <c r="I378" i="58"/>
  <c r="H78" i="66"/>
  <c r="I445" i="37"/>
  <c r="I441" i="58"/>
  <c r="H212" i="66"/>
  <c r="E359" i="38"/>
  <c r="I478" i="41"/>
  <c r="E382" i="38"/>
  <c r="E380" i="38"/>
  <c r="E381" i="38"/>
  <c r="J478" i="58"/>
  <c r="E383" i="38" s="1"/>
  <c r="J478" i="37"/>
  <c r="H70" i="66"/>
  <c r="I454" i="37"/>
  <c r="H257" i="66"/>
  <c r="J449" i="58"/>
  <c r="H269" i="66"/>
  <c r="J450" i="58"/>
  <c r="J463" i="41"/>
  <c r="H32" i="66"/>
  <c r="H32" i="74" s="1"/>
  <c r="H448" i="37"/>
  <c r="H284" i="66"/>
  <c r="J453" i="58"/>
  <c r="G11" i="41"/>
  <c r="H92" i="66"/>
  <c r="I453" i="37"/>
  <c r="H460" i="41"/>
  <c r="J473" i="41"/>
  <c r="I445" i="58"/>
  <c r="H222" i="66"/>
  <c r="H73" i="66"/>
  <c r="I442" i="37"/>
  <c r="H68" i="66"/>
  <c r="I441" i="37"/>
  <c r="E357" i="38"/>
  <c r="I476" i="41"/>
  <c r="H444" i="58"/>
  <c r="H186" i="66"/>
  <c r="G13" i="41"/>
  <c r="H234" i="66"/>
  <c r="I444" i="58"/>
  <c r="C17" i="63"/>
  <c r="I8" i="41"/>
  <c r="E387" i="38"/>
  <c r="H66" i="66"/>
  <c r="I452" i="37"/>
  <c r="I449" i="37"/>
  <c r="H65" i="66"/>
  <c r="H236" i="66"/>
  <c r="I453" i="58"/>
  <c r="H450" i="58"/>
  <c r="H173" i="66"/>
  <c r="I475" i="41"/>
  <c r="E356" i="38"/>
  <c r="H311" i="58"/>
  <c r="J8" i="58"/>
  <c r="H144" i="66"/>
  <c r="J447" i="37"/>
  <c r="G12" i="41"/>
  <c r="H217" i="66"/>
  <c r="I442" i="58"/>
  <c r="H149" i="66"/>
  <c r="H443" i="58"/>
  <c r="H128" i="66"/>
  <c r="J448" i="37"/>
  <c r="H42" i="66"/>
  <c r="H444" i="37"/>
  <c r="I13" i="58"/>
  <c r="J13" i="58"/>
  <c r="H13" i="58"/>
  <c r="H90" i="66"/>
  <c r="I444" i="37"/>
  <c r="E259" i="38"/>
  <c r="E214" i="38"/>
  <c r="J460" i="41"/>
  <c r="C47" i="63"/>
  <c r="H210" i="66"/>
  <c r="I452" i="58"/>
  <c r="E390" i="38"/>
  <c r="H473" i="41"/>
  <c r="H209" i="66"/>
  <c r="I449" i="58"/>
  <c r="H458" i="41"/>
  <c r="H197" i="66"/>
  <c r="I443" i="58"/>
  <c r="H214" i="66"/>
  <c r="I454" i="58"/>
  <c r="I440" i="37"/>
  <c r="J251" i="58"/>
  <c r="J287" i="58"/>
  <c r="I277" i="58"/>
  <c r="I463" i="41"/>
  <c r="H288" i="66"/>
  <c r="J447" i="58"/>
  <c r="J12" i="58"/>
  <c r="H12" i="58"/>
  <c r="I12" i="58"/>
  <c r="H88" i="66"/>
  <c r="I446" i="37"/>
  <c r="H443" i="37"/>
  <c r="H5" i="66"/>
  <c r="H5" i="74" s="1"/>
  <c r="H272" i="66"/>
  <c r="J448" i="58"/>
  <c r="H80" i="66"/>
  <c r="H80" i="74" s="1"/>
  <c r="I448" i="37"/>
  <c r="H22" i="66"/>
  <c r="H22" i="74" s="1"/>
  <c r="H454" i="37"/>
  <c r="J468" i="41"/>
  <c r="H446" i="37"/>
  <c r="H40" i="66"/>
  <c r="H174" i="66"/>
  <c r="H445" i="58"/>
  <c r="H138" i="66"/>
  <c r="H138" i="74" s="1"/>
  <c r="J444" i="37"/>
  <c r="I460" i="41"/>
  <c r="H469" i="41"/>
  <c r="I472" i="41"/>
  <c r="I462" i="41"/>
  <c r="I473" i="41"/>
  <c r="AB156" i="66" l="1"/>
  <c r="AC156" i="66" s="1"/>
  <c r="H42" i="74"/>
  <c r="G12" i="39"/>
  <c r="O204" i="66"/>
  <c r="H58" i="74"/>
  <c r="H60" i="74"/>
  <c r="H140" i="74"/>
  <c r="AC140" i="74" s="1"/>
  <c r="AD140" i="74" s="1"/>
  <c r="H114" i="74"/>
  <c r="H44" i="74"/>
  <c r="AB204" i="66"/>
  <c r="AC204" i="66" s="1"/>
  <c r="H88" i="74"/>
  <c r="H90" i="74"/>
  <c r="P156" i="66"/>
  <c r="P12" i="66"/>
  <c r="H101" i="74"/>
  <c r="H18" i="74"/>
  <c r="AA12" i="66"/>
  <c r="AA156" i="66"/>
  <c r="Z12" i="66"/>
  <c r="O220" i="66"/>
  <c r="H65" i="74"/>
  <c r="H17" i="74"/>
  <c r="Z156" i="66"/>
  <c r="H48" i="74"/>
  <c r="AC48" i="74" s="1"/>
  <c r="AD48" i="74" s="1"/>
  <c r="H25" i="74"/>
  <c r="G16" i="39"/>
  <c r="H108" i="74"/>
  <c r="H102" i="74"/>
  <c r="O172" i="66"/>
  <c r="AA172" i="66" s="1"/>
  <c r="H142" i="74"/>
  <c r="AB220" i="66"/>
  <c r="AC220" i="66" s="1"/>
  <c r="AB202" i="66"/>
  <c r="AC202" i="66" s="1"/>
  <c r="G14" i="39"/>
  <c r="H76" i="74"/>
  <c r="AC12" i="74"/>
  <c r="AD12" i="74" s="1"/>
  <c r="O12" i="74"/>
  <c r="O140" i="74"/>
  <c r="AA140" i="74" s="1"/>
  <c r="H128" i="74"/>
  <c r="H118" i="74"/>
  <c r="O202" i="66"/>
  <c r="H124" i="74"/>
  <c r="O44" i="74"/>
  <c r="AA44" i="74" s="1"/>
  <c r="AC44" i="74"/>
  <c r="AD44" i="74" s="1"/>
  <c r="H78" i="74"/>
  <c r="H29" i="74"/>
  <c r="H106" i="74"/>
  <c r="H40" i="74"/>
  <c r="H92" i="74"/>
  <c r="H70" i="74"/>
  <c r="H126" i="74"/>
  <c r="H53" i="74"/>
  <c r="H125" i="74"/>
  <c r="AC125" i="74" s="1"/>
  <c r="AD125" i="74" s="1"/>
  <c r="H10" i="74"/>
  <c r="H121" i="74"/>
  <c r="AA190" i="66"/>
  <c r="H144" i="74"/>
  <c r="O144" i="74" s="1"/>
  <c r="P144" i="74" s="1"/>
  <c r="H68" i="74"/>
  <c r="H113" i="74"/>
  <c r="AC46" i="74"/>
  <c r="AD46" i="74" s="1"/>
  <c r="O46" i="74"/>
  <c r="AC22" i="74"/>
  <c r="O22" i="74"/>
  <c r="AA22" i="74" s="1"/>
  <c r="H66" i="74"/>
  <c r="O32" i="74"/>
  <c r="P32" i="74" s="1"/>
  <c r="AC32" i="74"/>
  <c r="H30" i="74"/>
  <c r="H54" i="74"/>
  <c r="O154" i="66"/>
  <c r="P154" i="66" s="1"/>
  <c r="R154" i="66" s="1"/>
  <c r="H28" i="74"/>
  <c r="H73" i="74"/>
  <c r="H26" i="74"/>
  <c r="H11" i="74"/>
  <c r="L76" i="66"/>
  <c r="L76" i="74" s="1"/>
  <c r="L250" i="66"/>
  <c r="O250" i="66" s="1"/>
  <c r="L268" i="66"/>
  <c r="O268" i="66" s="1"/>
  <c r="L286" i="66"/>
  <c r="O286" i="66" s="1"/>
  <c r="L252" i="66"/>
  <c r="O252" i="66" s="1"/>
  <c r="G175" i="66"/>
  <c r="AB175" i="66" s="1"/>
  <c r="AC175" i="66" s="1"/>
  <c r="L94" i="66"/>
  <c r="L94" i="74" s="1"/>
  <c r="L58" i="66"/>
  <c r="L58" i="74" s="1"/>
  <c r="H215" i="66"/>
  <c r="L60" i="66"/>
  <c r="L60" i="74" s="1"/>
  <c r="AB272" i="66"/>
  <c r="AC272" i="66" s="1"/>
  <c r="AB144" i="66"/>
  <c r="AC144" i="66" s="1"/>
  <c r="AB269" i="66"/>
  <c r="AC269" i="66" s="1"/>
  <c r="AB173" i="66"/>
  <c r="AC173" i="66" s="1"/>
  <c r="AB118" i="66"/>
  <c r="AC118" i="66" s="1"/>
  <c r="AB166" i="66"/>
  <c r="AC166" i="66" s="1"/>
  <c r="AB128" i="66"/>
  <c r="AC128" i="66" s="1"/>
  <c r="AB44" i="66"/>
  <c r="AC44" i="66" s="1"/>
  <c r="AB48" i="66"/>
  <c r="AC48" i="66" s="1"/>
  <c r="AB262" i="66"/>
  <c r="AC262" i="66" s="1"/>
  <c r="AB192" i="66"/>
  <c r="AC192" i="66" s="1"/>
  <c r="AB29" i="66"/>
  <c r="AC29" i="66" s="1"/>
  <c r="AB125" i="66"/>
  <c r="AC125" i="66" s="1"/>
  <c r="AB140" i="66"/>
  <c r="AC140" i="66" s="1"/>
  <c r="AB22" i="66"/>
  <c r="AC22" i="66" s="1"/>
  <c r="AB284" i="66"/>
  <c r="AC284" i="66" s="1"/>
  <c r="AB188" i="66"/>
  <c r="AC188" i="66" s="1"/>
  <c r="AB288" i="66"/>
  <c r="AC288" i="66" s="1"/>
  <c r="AB32" i="66"/>
  <c r="AC32" i="66" s="1"/>
  <c r="AB176" i="66"/>
  <c r="AC176" i="66" s="1"/>
  <c r="P190" i="66"/>
  <c r="R190" i="66" s="1"/>
  <c r="P46" i="66"/>
  <c r="R46" i="66" s="1"/>
  <c r="AA46" i="66"/>
  <c r="Z46" i="66"/>
  <c r="Z190" i="66"/>
  <c r="O44" i="66"/>
  <c r="F13" i="39"/>
  <c r="O125" i="66"/>
  <c r="F14" i="39"/>
  <c r="F12" i="39"/>
  <c r="O262" i="66"/>
  <c r="O22" i="66"/>
  <c r="O284" i="66"/>
  <c r="O188" i="66"/>
  <c r="F16" i="39"/>
  <c r="O192" i="66"/>
  <c r="Z192" i="66" s="1"/>
  <c r="O32" i="66"/>
  <c r="O176" i="66"/>
  <c r="O29" i="66"/>
  <c r="Z29" i="66" s="1"/>
  <c r="O288" i="66"/>
  <c r="O175" i="66"/>
  <c r="O272" i="66"/>
  <c r="O140" i="66"/>
  <c r="O48" i="66"/>
  <c r="O269" i="66"/>
  <c r="O173" i="66"/>
  <c r="O118" i="66"/>
  <c r="AA118" i="66" s="1"/>
  <c r="O166" i="66"/>
  <c r="AA166" i="66" s="1"/>
  <c r="H424" i="37"/>
  <c r="H423" i="37"/>
  <c r="O58" i="66"/>
  <c r="G27" i="39"/>
  <c r="O60" i="66"/>
  <c r="P204" i="66" s="1"/>
  <c r="R204" i="66" s="1"/>
  <c r="S204" i="66" s="1"/>
  <c r="U204" i="66" s="1"/>
  <c r="G28" i="39"/>
  <c r="N66" i="66"/>
  <c r="N210" i="66"/>
  <c r="N170" i="66"/>
  <c r="N26" i="66"/>
  <c r="H71" i="66"/>
  <c r="I446" i="41"/>
  <c r="H74" i="66"/>
  <c r="I440" i="58"/>
  <c r="I440" i="41" s="1"/>
  <c r="H218" i="66"/>
  <c r="J441" i="41"/>
  <c r="R156" i="66"/>
  <c r="R12" i="66"/>
  <c r="H446" i="41"/>
  <c r="H440" i="41"/>
  <c r="I450" i="41"/>
  <c r="I448" i="41"/>
  <c r="I447" i="41"/>
  <c r="H454" i="41"/>
  <c r="H441" i="41"/>
  <c r="H444" i="41"/>
  <c r="J442" i="41"/>
  <c r="I442" i="41"/>
  <c r="H196" i="41"/>
  <c r="J453" i="41"/>
  <c r="I444" i="41"/>
  <c r="J454" i="41"/>
  <c r="H311" i="41"/>
  <c r="H453" i="41"/>
  <c r="J446" i="41"/>
  <c r="I334" i="41"/>
  <c r="H173" i="41"/>
  <c r="H445" i="41"/>
  <c r="J313" i="41"/>
  <c r="J450" i="41"/>
  <c r="I449" i="41"/>
  <c r="J251" i="41"/>
  <c r="I445" i="41"/>
  <c r="J444" i="41"/>
  <c r="I304" i="41"/>
  <c r="H272" i="41"/>
  <c r="H306" i="58"/>
  <c r="H386" i="58"/>
  <c r="J348" i="58"/>
  <c r="H408" i="58"/>
  <c r="H340" i="58"/>
  <c r="H257" i="58"/>
  <c r="H396" i="58"/>
  <c r="I228" i="58"/>
  <c r="H253" i="58"/>
  <c r="H274" i="58"/>
  <c r="H301" i="58"/>
  <c r="H367" i="58"/>
  <c r="H392" i="58"/>
  <c r="I249" i="58"/>
  <c r="H229" i="58"/>
  <c r="I165" i="58"/>
  <c r="I358" i="58"/>
  <c r="H369" i="58"/>
  <c r="H390" i="58"/>
  <c r="H144" i="58"/>
  <c r="H283" i="58"/>
  <c r="H170" i="58"/>
  <c r="H285" i="58"/>
  <c r="H218" i="58"/>
  <c r="H374" i="58"/>
  <c r="J176" i="58"/>
  <c r="I166" i="58"/>
  <c r="J227" i="58"/>
  <c r="H335" i="58"/>
  <c r="J287" i="41"/>
  <c r="H448" i="41"/>
  <c r="E365" i="38"/>
  <c r="J478" i="41"/>
  <c r="N257" i="66"/>
  <c r="J492" i="58"/>
  <c r="J491" i="58"/>
  <c r="J490" i="58"/>
  <c r="I416" i="41"/>
  <c r="J449" i="41"/>
  <c r="H260" i="58"/>
  <c r="H191" i="58"/>
  <c r="H388" i="58"/>
  <c r="I176" i="58"/>
  <c r="I347" i="58"/>
  <c r="J165" i="58"/>
  <c r="J405" i="58"/>
  <c r="J249" i="58"/>
  <c r="H150" i="58"/>
  <c r="J167" i="58"/>
  <c r="H336" i="58"/>
  <c r="H230" i="58"/>
  <c r="H275" i="58"/>
  <c r="H182" i="58"/>
  <c r="J303" i="58"/>
  <c r="H159" i="58"/>
  <c r="J143" i="58"/>
  <c r="H154" i="58"/>
  <c r="J175" i="58"/>
  <c r="H197" i="58"/>
  <c r="H219" i="58"/>
  <c r="I405" i="58"/>
  <c r="H312" i="58"/>
  <c r="H153" i="58"/>
  <c r="H245" i="58"/>
  <c r="J312" i="58"/>
  <c r="I174" i="58"/>
  <c r="I238" i="58"/>
  <c r="J207" i="58"/>
  <c r="J228" i="58"/>
  <c r="H279" i="58"/>
  <c r="J370" i="58"/>
  <c r="H321" i="58"/>
  <c r="J388" i="58"/>
  <c r="I191" i="58"/>
  <c r="H360" i="58"/>
  <c r="J296" i="58"/>
  <c r="H244" i="58"/>
  <c r="I250" i="58"/>
  <c r="H366" i="58"/>
  <c r="J389" i="58"/>
  <c r="J190" i="58"/>
  <c r="H141" i="58"/>
  <c r="I278" i="58"/>
  <c r="H416" i="58"/>
  <c r="J277" i="58"/>
  <c r="I407" i="58"/>
  <c r="J217" i="58"/>
  <c r="H405" i="58"/>
  <c r="H326" i="58"/>
  <c r="H188" i="58"/>
  <c r="H243" i="58"/>
  <c r="H223" i="58"/>
  <c r="H216" i="58"/>
  <c r="H158" i="58"/>
  <c r="J360" i="58"/>
  <c r="J144" i="58"/>
  <c r="H235" i="58"/>
  <c r="H155" i="58"/>
  <c r="H303" i="58"/>
  <c r="H166" i="58"/>
  <c r="H263" i="58"/>
  <c r="H413" i="58"/>
  <c r="H266" i="58"/>
  <c r="H418" i="58"/>
  <c r="I207" i="58"/>
  <c r="H210" i="58"/>
  <c r="J396" i="58"/>
  <c r="I345" i="58"/>
  <c r="H187" i="58"/>
  <c r="I312" i="58"/>
  <c r="H309" i="58"/>
  <c r="J154" i="58"/>
  <c r="I142" i="58"/>
  <c r="I237" i="58"/>
  <c r="H201" i="58"/>
  <c r="J239" i="58"/>
  <c r="I359" i="58"/>
  <c r="H292" i="58"/>
  <c r="I209" i="58"/>
  <c r="I259" i="58"/>
  <c r="H403" i="58"/>
  <c r="H316" i="58"/>
  <c r="H370" i="58"/>
  <c r="H247" i="58"/>
  <c r="H176" i="58"/>
  <c r="I200" i="58"/>
  <c r="H163" i="58"/>
  <c r="H349" i="58"/>
  <c r="H327" i="58"/>
  <c r="H225" i="58"/>
  <c r="H220" i="58"/>
  <c r="I380" i="58"/>
  <c r="H328" i="58"/>
  <c r="H296" i="58"/>
  <c r="H217" i="58"/>
  <c r="H143" i="58"/>
  <c r="H364" i="58"/>
  <c r="H411" i="58"/>
  <c r="J347" i="58"/>
  <c r="J406" i="58"/>
  <c r="I396" i="58"/>
  <c r="H308" i="58"/>
  <c r="I277" i="41"/>
  <c r="N209" i="66"/>
  <c r="I490" i="58"/>
  <c r="I491" i="58"/>
  <c r="I492" i="58"/>
  <c r="J447" i="41"/>
  <c r="J13" i="41"/>
  <c r="H450" i="41"/>
  <c r="H447" i="41"/>
  <c r="J443" i="41"/>
  <c r="N17" i="66"/>
  <c r="H491" i="37"/>
  <c r="H492" i="37"/>
  <c r="H490" i="37"/>
  <c r="H194" i="58"/>
  <c r="H151" i="58"/>
  <c r="H258" i="58"/>
  <c r="I294" i="58"/>
  <c r="H397" i="58"/>
  <c r="H313" i="58"/>
  <c r="H348" i="58"/>
  <c r="H161" i="58"/>
  <c r="H421" i="58"/>
  <c r="H391" i="58"/>
  <c r="H186" i="58"/>
  <c r="H355" i="58"/>
  <c r="H305" i="58"/>
  <c r="H209" i="58"/>
  <c r="H417" i="58"/>
  <c r="I397" i="58"/>
  <c r="H320" i="58"/>
  <c r="H221" i="58"/>
  <c r="H383" i="58"/>
  <c r="J407" i="58"/>
  <c r="H319" i="58"/>
  <c r="H307" i="58"/>
  <c r="I370" i="58"/>
  <c r="I360" i="58"/>
  <c r="H288" i="58"/>
  <c r="H213" i="58"/>
  <c r="H414" i="58"/>
  <c r="H180" i="58"/>
  <c r="H273" i="58"/>
  <c r="J369" i="58"/>
  <c r="I387" i="58"/>
  <c r="I258" i="58"/>
  <c r="I414" i="58"/>
  <c r="H361" i="58"/>
  <c r="H291" i="58"/>
  <c r="I225" i="58"/>
  <c r="J142" i="58"/>
  <c r="H342" i="58"/>
  <c r="J414" i="58"/>
  <c r="H377" i="58"/>
  <c r="H200" i="58"/>
  <c r="H353" i="58"/>
  <c r="J166" i="58"/>
  <c r="I199" i="58"/>
  <c r="J304" i="58"/>
  <c r="H255" i="58"/>
  <c r="H142" i="58"/>
  <c r="H304" i="58"/>
  <c r="H251" i="58"/>
  <c r="J415" i="58"/>
  <c r="J199" i="58"/>
  <c r="H199" i="58"/>
  <c r="H352" i="58"/>
  <c r="H398" i="58"/>
  <c r="H332" i="58"/>
  <c r="H224" i="58"/>
  <c r="J295" i="58"/>
  <c r="I371" i="58"/>
  <c r="H256" i="58"/>
  <c r="H212" i="58"/>
  <c r="H330" i="58"/>
  <c r="H249" i="58"/>
  <c r="I346" i="58"/>
  <c r="J378" i="58"/>
  <c r="I313" i="58"/>
  <c r="J218" i="58"/>
  <c r="H12" i="41"/>
  <c r="E229" i="38"/>
  <c r="E274" i="38"/>
  <c r="O144" i="66"/>
  <c r="H13" i="41"/>
  <c r="I441" i="41"/>
  <c r="I11" i="41"/>
  <c r="E363" i="38"/>
  <c r="J476" i="41"/>
  <c r="H451" i="41"/>
  <c r="H412" i="58"/>
  <c r="J260" i="58"/>
  <c r="I305" i="58"/>
  <c r="H264" i="58"/>
  <c r="H371" i="58"/>
  <c r="H375" i="58"/>
  <c r="J191" i="58"/>
  <c r="H202" i="58"/>
  <c r="J305" i="58"/>
  <c r="I323" i="58"/>
  <c r="H378" i="58"/>
  <c r="H401" i="58"/>
  <c r="J380" i="58"/>
  <c r="H372" i="58"/>
  <c r="J358" i="58"/>
  <c r="I369" i="58"/>
  <c r="I198" i="58"/>
  <c r="J321" i="58"/>
  <c r="H334" i="58"/>
  <c r="J335" i="58"/>
  <c r="H248" i="58"/>
  <c r="H259" i="58"/>
  <c r="I268" i="58"/>
  <c r="I389" i="58"/>
  <c r="H299" i="58"/>
  <c r="J200" i="58"/>
  <c r="H236" i="58"/>
  <c r="H179" i="58"/>
  <c r="H406" i="58"/>
  <c r="H363" i="58"/>
  <c r="H410" i="58"/>
  <c r="I208" i="58"/>
  <c r="J334" i="58"/>
  <c r="J208" i="58"/>
  <c r="I287" i="58"/>
  <c r="H59" i="66"/>
  <c r="I451" i="37"/>
  <c r="J448" i="41"/>
  <c r="I13" i="41"/>
  <c r="H11" i="41"/>
  <c r="I454" i="41"/>
  <c r="H449" i="41"/>
  <c r="I443" i="41"/>
  <c r="N161" i="66"/>
  <c r="H490" i="58"/>
  <c r="H492" i="58"/>
  <c r="H491" i="58"/>
  <c r="H452" i="41"/>
  <c r="H252" i="58"/>
  <c r="H368" i="58"/>
  <c r="H337" i="58"/>
  <c r="I388" i="58"/>
  <c r="I217" i="58"/>
  <c r="I295" i="58"/>
  <c r="H261" i="58"/>
  <c r="H246" i="58"/>
  <c r="J250" i="58"/>
  <c r="J286" i="58"/>
  <c r="H395" i="58"/>
  <c r="H409" i="58"/>
  <c r="H333" i="58"/>
  <c r="J359" i="58"/>
  <c r="H149" i="58"/>
  <c r="H325" i="58"/>
  <c r="J276" i="58"/>
  <c r="H381" i="58"/>
  <c r="I276" i="58"/>
  <c r="J174" i="58"/>
  <c r="H318" i="58"/>
  <c r="J225" i="58"/>
  <c r="J153" i="58"/>
  <c r="J387" i="58"/>
  <c r="I322" i="58"/>
  <c r="H384" i="58"/>
  <c r="H373" i="58"/>
  <c r="H271" i="58"/>
  <c r="H178" i="58"/>
  <c r="H387" i="58"/>
  <c r="H168" i="58"/>
  <c r="H277" i="58"/>
  <c r="H250" i="58"/>
  <c r="J278" i="58"/>
  <c r="J398" i="58"/>
  <c r="H346" i="58"/>
  <c r="H240" i="58"/>
  <c r="H290" i="58"/>
  <c r="H347" i="58"/>
  <c r="H297" i="58"/>
  <c r="H198" i="58"/>
  <c r="H167" i="58"/>
  <c r="I314" i="58"/>
  <c r="H420" i="58"/>
  <c r="H165" i="58"/>
  <c r="H317" i="58"/>
  <c r="I155" i="58"/>
  <c r="H380" i="58"/>
  <c r="H238" i="58"/>
  <c r="H400" i="58"/>
  <c r="H189" i="58"/>
  <c r="H351" i="58"/>
  <c r="H365" i="58"/>
  <c r="J345" i="58"/>
  <c r="I333" i="58"/>
  <c r="J285" i="58"/>
  <c r="I285" i="58"/>
  <c r="H233" i="58"/>
  <c r="J198" i="58"/>
  <c r="I226" i="58"/>
  <c r="J238" i="58"/>
  <c r="J294" i="58"/>
  <c r="H192" i="58"/>
  <c r="J141" i="58"/>
  <c r="J333" i="58"/>
  <c r="H302" i="58"/>
  <c r="H265" i="58"/>
  <c r="H203" i="58"/>
  <c r="H385" i="58"/>
  <c r="H278" i="58"/>
  <c r="H226" i="58"/>
  <c r="H415" i="58"/>
  <c r="J336" i="58"/>
  <c r="H215" i="58"/>
  <c r="J397" i="58"/>
  <c r="H295" i="58"/>
  <c r="H241" i="58"/>
  <c r="I175" i="58"/>
  <c r="I218" i="58"/>
  <c r="H190" i="58"/>
  <c r="H343" i="58"/>
  <c r="J323" i="58"/>
  <c r="I260" i="58"/>
  <c r="H162" i="58"/>
  <c r="H358" i="58"/>
  <c r="H422" i="58"/>
  <c r="I286" i="58"/>
  <c r="H362" i="58"/>
  <c r="I324" i="58"/>
  <c r="H169" i="58"/>
  <c r="I406" i="58"/>
  <c r="J240" i="58"/>
  <c r="O128" i="66"/>
  <c r="J8" i="41"/>
  <c r="C27" i="63"/>
  <c r="J11" i="41"/>
  <c r="E364" i="38"/>
  <c r="J477" i="41"/>
  <c r="J452" i="41"/>
  <c r="H426" i="41"/>
  <c r="G31" i="66"/>
  <c r="G31" i="74" s="1"/>
  <c r="I251" i="41"/>
  <c r="H404" i="58"/>
  <c r="H354" i="58"/>
  <c r="H276" i="58"/>
  <c r="I415" i="58"/>
  <c r="H234" i="58"/>
  <c r="H242" i="58"/>
  <c r="H402" i="58"/>
  <c r="H359" i="58"/>
  <c r="H356" i="58"/>
  <c r="H419" i="58"/>
  <c r="J155" i="58"/>
  <c r="I348" i="58"/>
  <c r="H157" i="58"/>
  <c r="H357" i="58"/>
  <c r="H393" i="58"/>
  <c r="H300" i="58"/>
  <c r="I398" i="58"/>
  <c r="H407" i="58"/>
  <c r="H344" i="58"/>
  <c r="I269" i="58"/>
  <c r="H389" i="58"/>
  <c r="H239" i="58"/>
  <c r="H379" i="58"/>
  <c r="H284" i="58"/>
  <c r="H228" i="58"/>
  <c r="H145" i="58"/>
  <c r="J209" i="58"/>
  <c r="I227" i="58"/>
  <c r="H206" i="58"/>
  <c r="H211" i="58"/>
  <c r="J324" i="58"/>
  <c r="J346" i="58"/>
  <c r="H185" i="58"/>
  <c r="H203" i="66"/>
  <c r="I451" i="58"/>
  <c r="I12" i="41"/>
  <c r="C57" i="63"/>
  <c r="I453" i="41"/>
  <c r="N113" i="66"/>
  <c r="N113" i="74" s="1"/>
  <c r="J490" i="37"/>
  <c r="J491" i="37"/>
  <c r="J492" i="37"/>
  <c r="J445" i="41"/>
  <c r="I426" i="58"/>
  <c r="H442" i="41"/>
  <c r="H339" i="58"/>
  <c r="H174" i="58"/>
  <c r="I167" i="58"/>
  <c r="H214" i="58"/>
  <c r="J189" i="58"/>
  <c r="I267" i="58"/>
  <c r="H280" i="58"/>
  <c r="H193" i="58"/>
  <c r="J371" i="58"/>
  <c r="H262" i="58"/>
  <c r="J267" i="58"/>
  <c r="H350" i="58"/>
  <c r="H227" i="58"/>
  <c r="H231" i="58"/>
  <c r="J379" i="58"/>
  <c r="H267" i="58"/>
  <c r="H323" i="58"/>
  <c r="H289" i="58"/>
  <c r="H146" i="58"/>
  <c r="I144" i="58"/>
  <c r="H294" i="58"/>
  <c r="I321" i="58"/>
  <c r="J357" i="58"/>
  <c r="J258" i="58"/>
  <c r="I216" i="58"/>
  <c r="J226" i="58"/>
  <c r="H177" i="58"/>
  <c r="J322" i="58"/>
  <c r="I154" i="58"/>
  <c r="I153" i="58"/>
  <c r="I335" i="58"/>
  <c r="H329" i="58"/>
  <c r="H254" i="58"/>
  <c r="I296" i="58"/>
  <c r="J259" i="58"/>
  <c r="H195" i="58"/>
  <c r="H181" i="58"/>
  <c r="J416" i="58"/>
  <c r="H338" i="58"/>
  <c r="H341" i="58"/>
  <c r="I379" i="58"/>
  <c r="H331" i="58"/>
  <c r="H204" i="58"/>
  <c r="H269" i="58"/>
  <c r="I143" i="58"/>
  <c r="H322" i="58"/>
  <c r="H232" i="58"/>
  <c r="H394" i="58"/>
  <c r="I336" i="58"/>
  <c r="H293" i="58"/>
  <c r="H298" i="58"/>
  <c r="H282" i="58"/>
  <c r="I303" i="58"/>
  <c r="J216" i="58"/>
  <c r="I189" i="58"/>
  <c r="I357" i="58"/>
  <c r="H345" i="58"/>
  <c r="H399" i="58"/>
  <c r="J237" i="58"/>
  <c r="I141" i="58"/>
  <c r="I239" i="58"/>
  <c r="H147" i="58"/>
  <c r="H171" i="58"/>
  <c r="H324" i="58"/>
  <c r="H310" i="58"/>
  <c r="H237" i="58"/>
  <c r="H376" i="58"/>
  <c r="H268" i="58"/>
  <c r="J269" i="58"/>
  <c r="I190" i="58"/>
  <c r="H270" i="58"/>
  <c r="J268" i="58"/>
  <c r="J314" i="58"/>
  <c r="H207" i="58"/>
  <c r="H382" i="58"/>
  <c r="H286" i="58"/>
  <c r="H172" i="58"/>
  <c r="H287" i="58"/>
  <c r="H222" i="58"/>
  <c r="H175" i="58"/>
  <c r="H281" i="58"/>
  <c r="H314" i="58"/>
  <c r="H205" i="58"/>
  <c r="H208" i="58"/>
  <c r="I240" i="58"/>
  <c r="H315" i="58"/>
  <c r="H443" i="41"/>
  <c r="J12" i="41"/>
  <c r="N65" i="66"/>
  <c r="I490" i="37"/>
  <c r="I491" i="37"/>
  <c r="I492" i="37"/>
  <c r="E362" i="38"/>
  <c r="J475" i="41"/>
  <c r="I378" i="41"/>
  <c r="Z140" i="66"/>
  <c r="Z284" i="66"/>
  <c r="AA140" i="66"/>
  <c r="AA284" i="66"/>
  <c r="AA32" i="66" l="1"/>
  <c r="Z172" i="66"/>
  <c r="O94" i="66"/>
  <c r="Z238" i="66" s="1"/>
  <c r="P172" i="66"/>
  <c r="R172" i="66" s="1"/>
  <c r="AB76" i="66"/>
  <c r="AC76" i="66" s="1"/>
  <c r="Z22" i="66"/>
  <c r="Z28" i="66"/>
  <c r="AA28" i="66"/>
  <c r="AA22" i="66"/>
  <c r="P28" i="66"/>
  <c r="R28" i="66" s="1"/>
  <c r="O48" i="74"/>
  <c r="P48" i="74" s="1"/>
  <c r="P10" i="66"/>
  <c r="R10" i="66" s="1"/>
  <c r="AB286" i="66"/>
  <c r="AC286" i="66" s="1"/>
  <c r="AA154" i="66"/>
  <c r="AB58" i="66"/>
  <c r="AC58" i="66" s="1"/>
  <c r="Z10" i="66"/>
  <c r="O76" i="66"/>
  <c r="Z220" i="66" s="1"/>
  <c r="Z154" i="66"/>
  <c r="AA10" i="66"/>
  <c r="AB268" i="66"/>
  <c r="AC268" i="66" s="1"/>
  <c r="AA44" i="66"/>
  <c r="AB94" i="66"/>
  <c r="AC94" i="66" s="1"/>
  <c r="H71" i="74"/>
  <c r="AB252" i="66"/>
  <c r="AC252" i="66" s="1"/>
  <c r="Z140" i="74"/>
  <c r="N17" i="74"/>
  <c r="AB60" i="66"/>
  <c r="AC60" i="66" s="1"/>
  <c r="Z22" i="74"/>
  <c r="N66" i="74"/>
  <c r="AC144" i="74"/>
  <c r="AD144" i="74" s="1"/>
  <c r="Z32" i="74"/>
  <c r="AA188" i="66"/>
  <c r="Z188" i="66"/>
  <c r="P202" i="66"/>
  <c r="R202" i="66" s="1"/>
  <c r="S202" i="66" s="1"/>
  <c r="U202" i="66" s="1"/>
  <c r="Z32" i="66"/>
  <c r="O125" i="74"/>
  <c r="AA125" i="74" s="1"/>
  <c r="AA32" i="74"/>
  <c r="AA176" i="66"/>
  <c r="AD22" i="74"/>
  <c r="P32" i="66"/>
  <c r="R32" i="66" s="1"/>
  <c r="P176" i="66"/>
  <c r="AD32" i="74"/>
  <c r="B12" i="75" s="1"/>
  <c r="E12" i="75" s="1"/>
  <c r="B27" i="75"/>
  <c r="E27" i="75" s="1"/>
  <c r="H59" i="74"/>
  <c r="H74" i="74"/>
  <c r="Z44" i="74"/>
  <c r="P46" i="74"/>
  <c r="AA46" i="74"/>
  <c r="Z46" i="74"/>
  <c r="O118" i="74"/>
  <c r="AC118" i="74"/>
  <c r="O128" i="74"/>
  <c r="AC128" i="74"/>
  <c r="N26" i="74"/>
  <c r="O28" i="74"/>
  <c r="AC28" i="74"/>
  <c r="AD28" i="74" s="1"/>
  <c r="P12" i="74"/>
  <c r="AA12" i="74"/>
  <c r="Z12" i="74"/>
  <c r="AC29" i="74"/>
  <c r="AD29" i="74" s="1"/>
  <c r="O29" i="74"/>
  <c r="AA29" i="74" s="1"/>
  <c r="N65" i="74"/>
  <c r="AC31" i="74"/>
  <c r="O31" i="74"/>
  <c r="AB250" i="66"/>
  <c r="AC250" i="66" s="1"/>
  <c r="O10" i="74"/>
  <c r="AC10" i="74"/>
  <c r="AD10" i="74" s="1"/>
  <c r="G203" i="66"/>
  <c r="G223" i="66"/>
  <c r="O223" i="66" s="1"/>
  <c r="G210" i="66"/>
  <c r="AB210" i="66" s="1"/>
  <c r="AC210" i="66" s="1"/>
  <c r="L108" i="66"/>
  <c r="L108" i="74" s="1"/>
  <c r="L142" i="66"/>
  <c r="L142" i="74" s="1"/>
  <c r="O58" i="74"/>
  <c r="P58" i="74" s="1"/>
  <c r="AC58" i="74"/>
  <c r="AD58" i="74" s="1"/>
  <c r="G155" i="66"/>
  <c r="AB155" i="66" s="1"/>
  <c r="AC155" i="66" s="1"/>
  <c r="G258" i="66"/>
  <c r="O258" i="66" s="1"/>
  <c r="AC94" i="74"/>
  <c r="AD94" i="74" s="1"/>
  <c r="O94" i="74"/>
  <c r="P94" i="74" s="1"/>
  <c r="G162" i="66"/>
  <c r="O162" i="66" s="1"/>
  <c r="G251" i="66"/>
  <c r="Z144" i="74"/>
  <c r="AA144" i="74"/>
  <c r="L124" i="66"/>
  <c r="L124" i="74" s="1"/>
  <c r="Z29" i="74"/>
  <c r="O76" i="74"/>
  <c r="P76" i="74" s="1"/>
  <c r="AC76" i="74"/>
  <c r="AD76" i="74" s="1"/>
  <c r="L106" i="66"/>
  <c r="L106" i="74" s="1"/>
  <c r="O60" i="74"/>
  <c r="P60" i="74" s="1"/>
  <c r="AC60" i="74"/>
  <c r="AD60" i="74" s="1"/>
  <c r="R32" i="74"/>
  <c r="V32" i="74"/>
  <c r="Z44" i="66"/>
  <c r="Z118" i="66"/>
  <c r="AB31" i="66"/>
  <c r="AC31" i="66" s="1"/>
  <c r="H6" i="6"/>
  <c r="Z262" i="66"/>
  <c r="Z269" i="66"/>
  <c r="AA262" i="66"/>
  <c r="Z176" i="66"/>
  <c r="Z166" i="66"/>
  <c r="AA125" i="66"/>
  <c r="AA269" i="66"/>
  <c r="Z125" i="66"/>
  <c r="AA48" i="66"/>
  <c r="AA29" i="66"/>
  <c r="Z173" i="66"/>
  <c r="Z48" i="66"/>
  <c r="AA173" i="66"/>
  <c r="P192" i="66"/>
  <c r="R192" i="66" s="1"/>
  <c r="H7" i="6"/>
  <c r="AA192" i="66"/>
  <c r="O31" i="66"/>
  <c r="AA31" i="66" s="1"/>
  <c r="P48" i="66"/>
  <c r="R48" i="66" s="1"/>
  <c r="P94" i="66"/>
  <c r="R94" i="66" s="1"/>
  <c r="S94" i="66" s="1"/>
  <c r="U94" i="66" s="1"/>
  <c r="H425" i="37"/>
  <c r="C9" i="63" s="1"/>
  <c r="P76" i="66"/>
  <c r="R76" i="66" s="1"/>
  <c r="S76" i="66" s="1"/>
  <c r="U76" i="66" s="1"/>
  <c r="P58" i="66"/>
  <c r="R58" i="66" s="1"/>
  <c r="S58" i="66" s="1"/>
  <c r="U58" i="66" s="1"/>
  <c r="Z58" i="66"/>
  <c r="AA58" i="66"/>
  <c r="P60" i="66"/>
  <c r="R60" i="66" s="1"/>
  <c r="S60" i="66" s="1"/>
  <c r="U60" i="66" s="1"/>
  <c r="Z204" i="66"/>
  <c r="Z202" i="66"/>
  <c r="AA202" i="66"/>
  <c r="AA220" i="66"/>
  <c r="P220" i="66"/>
  <c r="R220" i="66" s="1"/>
  <c r="S220" i="66" s="1"/>
  <c r="U220" i="66" s="1"/>
  <c r="AA76" i="66"/>
  <c r="Z76" i="66"/>
  <c r="Z60" i="66"/>
  <c r="AA60" i="66"/>
  <c r="AA204" i="66"/>
  <c r="AA94" i="66"/>
  <c r="Z94" i="66"/>
  <c r="AA238" i="66"/>
  <c r="P238" i="66"/>
  <c r="P272" i="66"/>
  <c r="J6" i="6"/>
  <c r="P288" i="66"/>
  <c r="R288" i="66" s="1"/>
  <c r="S288" i="66" s="1"/>
  <c r="U288" i="66" s="1"/>
  <c r="J7" i="6"/>
  <c r="N217" i="66"/>
  <c r="N73" i="66"/>
  <c r="N88" i="66"/>
  <c r="N232" i="66"/>
  <c r="N92" i="66"/>
  <c r="N236" i="66"/>
  <c r="N197" i="66"/>
  <c r="N53" i="66"/>
  <c r="N80" i="66"/>
  <c r="N224" i="66"/>
  <c r="N214" i="66"/>
  <c r="N70" i="66"/>
  <c r="N218" i="66"/>
  <c r="N74" i="66"/>
  <c r="N203" i="66"/>
  <c r="N59" i="66"/>
  <c r="N240" i="66"/>
  <c r="N96" i="66"/>
  <c r="N78" i="66"/>
  <c r="N222" i="66"/>
  <c r="N77" i="66"/>
  <c r="N221" i="66"/>
  <c r="N234" i="66"/>
  <c r="N90" i="66"/>
  <c r="H263" i="66"/>
  <c r="H266" i="66"/>
  <c r="J440" i="58"/>
  <c r="H119" i="66"/>
  <c r="J440" i="37"/>
  <c r="H122" i="66"/>
  <c r="H179" i="41"/>
  <c r="H299" i="41"/>
  <c r="J335" i="41"/>
  <c r="I198" i="41"/>
  <c r="J260" i="41"/>
  <c r="J348" i="41"/>
  <c r="H388" i="41"/>
  <c r="J389" i="41"/>
  <c r="H244" i="41"/>
  <c r="J312" i="41"/>
  <c r="H364" i="41"/>
  <c r="H328" i="41"/>
  <c r="H327" i="41"/>
  <c r="H370" i="41"/>
  <c r="H292" i="41"/>
  <c r="H263" i="41"/>
  <c r="H155" i="41"/>
  <c r="H188" i="41"/>
  <c r="J228" i="41"/>
  <c r="I238" i="41"/>
  <c r="I174" i="41"/>
  <c r="H153" i="41"/>
  <c r="I405" i="41"/>
  <c r="J175" i="41"/>
  <c r="H275" i="41"/>
  <c r="H150" i="41"/>
  <c r="J405" i="41"/>
  <c r="H374" i="41"/>
  <c r="I406" i="41"/>
  <c r="I286" i="41"/>
  <c r="H343" i="41"/>
  <c r="H215" i="41"/>
  <c r="H302" i="41"/>
  <c r="H167" i="41"/>
  <c r="J398" i="41"/>
  <c r="I322" i="41"/>
  <c r="I276" i="41"/>
  <c r="H333" i="41"/>
  <c r="H204" i="41"/>
  <c r="I379" i="41"/>
  <c r="H329" i="41"/>
  <c r="I154" i="41"/>
  <c r="I216" i="41"/>
  <c r="H323" i="41"/>
  <c r="H358" i="41"/>
  <c r="I218" i="41"/>
  <c r="H415" i="41"/>
  <c r="H265" i="41"/>
  <c r="J238" i="41"/>
  <c r="H351" i="41"/>
  <c r="I314" i="41"/>
  <c r="H240" i="41"/>
  <c r="H168" i="41"/>
  <c r="H178" i="41"/>
  <c r="H384" i="41"/>
  <c r="J153" i="41"/>
  <c r="J276" i="41"/>
  <c r="J359" i="41"/>
  <c r="J250" i="41"/>
  <c r="H143" i="41"/>
  <c r="I259" i="41"/>
  <c r="H210" i="41"/>
  <c r="H235" i="41"/>
  <c r="H326" i="41"/>
  <c r="J218" i="41"/>
  <c r="I346" i="41"/>
  <c r="I371" i="41"/>
  <c r="H352" i="41"/>
  <c r="H361" i="41"/>
  <c r="H383" i="41"/>
  <c r="H258" i="41"/>
  <c r="J406" i="41"/>
  <c r="H296" i="41"/>
  <c r="I200" i="41"/>
  <c r="I209" i="41"/>
  <c r="J239" i="41"/>
  <c r="I237" i="41"/>
  <c r="J360" i="41"/>
  <c r="J217" i="41"/>
  <c r="I407" i="41"/>
  <c r="H416" i="41"/>
  <c r="H366" i="41"/>
  <c r="H245" i="41"/>
  <c r="J143" i="41"/>
  <c r="J200" i="41"/>
  <c r="J380" i="41"/>
  <c r="I323" i="41"/>
  <c r="H360" i="41"/>
  <c r="J370" i="41"/>
  <c r="H234" i="41"/>
  <c r="H276" i="41"/>
  <c r="H404" i="41"/>
  <c r="H393" i="41"/>
  <c r="J155" i="41"/>
  <c r="H362" i="41"/>
  <c r="J397" i="41"/>
  <c r="I333" i="41"/>
  <c r="H365" i="41"/>
  <c r="H347" i="41"/>
  <c r="H325" i="41"/>
  <c r="H409" i="41"/>
  <c r="H246" i="41"/>
  <c r="H262" i="41"/>
  <c r="H339" i="41"/>
  <c r="I227" i="41"/>
  <c r="J346" i="41"/>
  <c r="J209" i="41"/>
  <c r="H344" i="41"/>
  <c r="H357" i="41"/>
  <c r="J378" i="41"/>
  <c r="H224" i="41"/>
  <c r="H377" i="41"/>
  <c r="H305" i="41"/>
  <c r="H348" i="41"/>
  <c r="H397" i="41"/>
  <c r="H151" i="41"/>
  <c r="H286" i="41"/>
  <c r="J314" i="41"/>
  <c r="H376" i="41"/>
  <c r="H147" i="41"/>
  <c r="I336" i="41"/>
  <c r="H232" i="41"/>
  <c r="I143" i="41"/>
  <c r="H331" i="41"/>
  <c r="H341" i="41"/>
  <c r="I335" i="41"/>
  <c r="J258" i="41"/>
  <c r="H146" i="41"/>
  <c r="I167" i="41"/>
  <c r="J324" i="41"/>
  <c r="H239" i="41"/>
  <c r="H356" i="41"/>
  <c r="H242" i="41"/>
  <c r="H190" i="41"/>
  <c r="H241" i="41"/>
  <c r="J336" i="41"/>
  <c r="H381" i="41"/>
  <c r="J286" i="41"/>
  <c r="J347" i="41"/>
  <c r="H217" i="41"/>
  <c r="H220" i="41"/>
  <c r="H163" i="41"/>
  <c r="I228" i="41"/>
  <c r="H408" i="41"/>
  <c r="H208" i="41"/>
  <c r="H281" i="41"/>
  <c r="J268" i="41"/>
  <c r="H324" i="41"/>
  <c r="I239" i="41"/>
  <c r="I357" i="41"/>
  <c r="H338" i="41"/>
  <c r="J416" i="41"/>
  <c r="J259" i="41"/>
  <c r="H289" i="41"/>
  <c r="J379" i="41"/>
  <c r="H389" i="41"/>
  <c r="I398" i="41"/>
  <c r="H359" i="41"/>
  <c r="H402" i="41"/>
  <c r="H261" i="41"/>
  <c r="H368" i="41"/>
  <c r="I208" i="41"/>
  <c r="H264" i="41"/>
  <c r="I166" i="41"/>
  <c r="H283" i="41"/>
  <c r="H172" i="41"/>
  <c r="J269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I199" i="41"/>
  <c r="J414" i="41"/>
  <c r="H288" i="41"/>
  <c r="J407" i="41"/>
  <c r="H320" i="41"/>
  <c r="H209" i="41"/>
  <c r="H336" i="41"/>
  <c r="H396" i="41"/>
  <c r="H175" i="41"/>
  <c r="H310" i="41"/>
  <c r="J371" i="41"/>
  <c r="J227" i="41"/>
  <c r="I358" i="41"/>
  <c r="J267" i="41"/>
  <c r="I189" i="41"/>
  <c r="Z175" i="66"/>
  <c r="I324" i="41"/>
  <c r="J323" i="41"/>
  <c r="H295" i="41"/>
  <c r="H192" i="41"/>
  <c r="J345" i="41"/>
  <c r="H380" i="41"/>
  <c r="D45" i="57"/>
  <c r="G163" i="66"/>
  <c r="H297" i="41"/>
  <c r="H318" i="41"/>
  <c r="H107" i="66"/>
  <c r="J451" i="37"/>
  <c r="D8" i="57"/>
  <c r="M3" i="37"/>
  <c r="H249" i="41"/>
  <c r="G42" i="66"/>
  <c r="I116" i="66"/>
  <c r="E2" i="53"/>
  <c r="H142" i="41"/>
  <c r="I20" i="66"/>
  <c r="G20" i="66"/>
  <c r="I68" i="66"/>
  <c r="J142" i="41"/>
  <c r="H491" i="41"/>
  <c r="G11" i="66"/>
  <c r="G170" i="66"/>
  <c r="D41" i="57"/>
  <c r="H493" i="37"/>
  <c r="E392" i="38"/>
  <c r="D4" i="57"/>
  <c r="H321" i="41"/>
  <c r="G39" i="66"/>
  <c r="H494" i="37"/>
  <c r="H182" i="41"/>
  <c r="J165" i="41"/>
  <c r="H367" i="41"/>
  <c r="H257" i="41"/>
  <c r="H386" i="41"/>
  <c r="I141" i="41"/>
  <c r="D51" i="57"/>
  <c r="G158" i="66"/>
  <c r="I321" i="41"/>
  <c r="G159" i="66"/>
  <c r="D49" i="57"/>
  <c r="Z128" i="66"/>
  <c r="Z272" i="66"/>
  <c r="AA272" i="66"/>
  <c r="AA128" i="66"/>
  <c r="P128" i="66"/>
  <c r="I285" i="41"/>
  <c r="G19" i="66"/>
  <c r="H165" i="41"/>
  <c r="D6" i="57"/>
  <c r="J334" i="41"/>
  <c r="H363" i="41"/>
  <c r="J358" i="41"/>
  <c r="J305" i="41"/>
  <c r="Z144" i="66"/>
  <c r="AA288" i="66"/>
  <c r="Z288" i="66"/>
  <c r="AA144" i="66"/>
  <c r="P144" i="66"/>
  <c r="G186" i="66"/>
  <c r="D47" i="57"/>
  <c r="M3" i="58"/>
  <c r="H304" i="41"/>
  <c r="I260" i="66"/>
  <c r="I164" i="66"/>
  <c r="E8" i="53"/>
  <c r="I212" i="66"/>
  <c r="G164" i="66"/>
  <c r="H414" i="41"/>
  <c r="H307" i="41"/>
  <c r="H186" i="41"/>
  <c r="J176" i="41"/>
  <c r="G34" i="66"/>
  <c r="H285" i="41"/>
  <c r="D11" i="57"/>
  <c r="H144" i="41"/>
  <c r="H369" i="41"/>
  <c r="D13" i="57"/>
  <c r="G24" i="66"/>
  <c r="H301" i="41"/>
  <c r="J189" i="41"/>
  <c r="J156" i="58"/>
  <c r="I156" i="58"/>
  <c r="H160" i="58"/>
  <c r="H156" i="58"/>
  <c r="C34" i="63" s="1"/>
  <c r="H164" i="58"/>
  <c r="G57" i="66"/>
  <c r="D44" i="39"/>
  <c r="E110" i="38" s="1"/>
  <c r="I492" i="41"/>
  <c r="D17" i="39" s="1"/>
  <c r="H314" i="41"/>
  <c r="H222" i="41"/>
  <c r="J237" i="41"/>
  <c r="G14" i="66"/>
  <c r="D12" i="57"/>
  <c r="H345" i="41"/>
  <c r="J322" i="41"/>
  <c r="H177" i="41"/>
  <c r="D10" i="57"/>
  <c r="G15" i="66"/>
  <c r="H267" i="41"/>
  <c r="H206" i="41"/>
  <c r="H419" i="41"/>
  <c r="I415" i="41"/>
  <c r="J240" i="41"/>
  <c r="H162" i="41"/>
  <c r="I175" i="41"/>
  <c r="H226" i="41"/>
  <c r="H385" i="41"/>
  <c r="J333" i="41"/>
  <c r="I226" i="41"/>
  <c r="H189" i="41"/>
  <c r="D7" i="57"/>
  <c r="G25" i="66"/>
  <c r="H420" i="41"/>
  <c r="H346" i="41"/>
  <c r="J278" i="41"/>
  <c r="H271" i="41"/>
  <c r="J208" i="41"/>
  <c r="I389" i="41"/>
  <c r="H401" i="41"/>
  <c r="H378" i="41"/>
  <c r="H412" i="41"/>
  <c r="H398" i="41"/>
  <c r="J199" i="41"/>
  <c r="H255" i="41"/>
  <c r="J166" i="41"/>
  <c r="I258" i="41"/>
  <c r="H273" i="41"/>
  <c r="I360" i="41"/>
  <c r="H319" i="41"/>
  <c r="H391" i="41"/>
  <c r="I396" i="41"/>
  <c r="I380" i="41"/>
  <c r="H349" i="41"/>
  <c r="H176" i="41"/>
  <c r="I142" i="41"/>
  <c r="H309" i="41"/>
  <c r="H187" i="41"/>
  <c r="J396" i="41"/>
  <c r="H418" i="41"/>
  <c r="H158" i="41"/>
  <c r="H223" i="41"/>
  <c r="I278" i="41"/>
  <c r="J190" i="41"/>
  <c r="I250" i="41"/>
  <c r="H312" i="41"/>
  <c r="H219" i="41"/>
  <c r="J167" i="41"/>
  <c r="I347" i="41"/>
  <c r="H191" i="41"/>
  <c r="G249" i="66"/>
  <c r="M44" i="39"/>
  <c r="E178" i="38" s="1"/>
  <c r="G178" i="66"/>
  <c r="D50" i="57"/>
  <c r="D52" i="57"/>
  <c r="G168" i="66"/>
  <c r="I249" i="41"/>
  <c r="H253" i="41"/>
  <c r="H340" i="41"/>
  <c r="H306" i="41"/>
  <c r="G66" i="66"/>
  <c r="G66" i="74" s="1"/>
  <c r="O66" i="74" s="1"/>
  <c r="I490" i="41"/>
  <c r="H287" i="41"/>
  <c r="H382" i="41"/>
  <c r="I190" i="41"/>
  <c r="H237" i="41"/>
  <c r="H399" i="41"/>
  <c r="H394" i="41"/>
  <c r="H322" i="41"/>
  <c r="H269" i="41"/>
  <c r="I296" i="41"/>
  <c r="J226" i="41"/>
  <c r="H350" i="41"/>
  <c r="H193" i="41"/>
  <c r="H174" i="41"/>
  <c r="J426" i="58"/>
  <c r="G107" i="66"/>
  <c r="J491" i="41"/>
  <c r="H185" i="41"/>
  <c r="H145" i="41"/>
  <c r="H407" i="41"/>
  <c r="H157" i="41"/>
  <c r="I348" i="41"/>
  <c r="H354" i="41"/>
  <c r="H278" i="41"/>
  <c r="J294" i="41"/>
  <c r="J198" i="41"/>
  <c r="J285" i="41"/>
  <c r="H400" i="41"/>
  <c r="I155" i="41"/>
  <c r="H277" i="41"/>
  <c r="H373" i="41"/>
  <c r="J174" i="41"/>
  <c r="H395" i="41"/>
  <c r="I295" i="41"/>
  <c r="H252" i="41"/>
  <c r="G153" i="66"/>
  <c r="K44" i="39"/>
  <c r="E144" i="38" s="1"/>
  <c r="I287" i="41"/>
  <c r="H410" i="41"/>
  <c r="H236" i="41"/>
  <c r="I268" i="41"/>
  <c r="H372" i="41"/>
  <c r="H330" i="41"/>
  <c r="H332" i="41"/>
  <c r="J415" i="41"/>
  <c r="J304" i="41"/>
  <c r="H353" i="41"/>
  <c r="I225" i="41"/>
  <c r="I370" i="41"/>
  <c r="H355" i="41"/>
  <c r="H421" i="41"/>
  <c r="H194" i="41"/>
  <c r="H247" i="41"/>
  <c r="H316" i="41"/>
  <c r="I359" i="41"/>
  <c r="H201" i="41"/>
  <c r="J154" i="41"/>
  <c r="I312" i="41"/>
  <c r="I345" i="41"/>
  <c r="I207" i="41"/>
  <c r="H266" i="41"/>
  <c r="H166" i="41"/>
  <c r="J144" i="41"/>
  <c r="H216" i="41"/>
  <c r="H405" i="41"/>
  <c r="I191" i="41"/>
  <c r="H154" i="41"/>
  <c r="H159" i="41"/>
  <c r="J303" i="41"/>
  <c r="I176" i="41"/>
  <c r="H260" i="41"/>
  <c r="H170" i="41"/>
  <c r="H390" i="41"/>
  <c r="H392" i="41"/>
  <c r="I240" i="41"/>
  <c r="H207" i="41"/>
  <c r="G17" i="66"/>
  <c r="D5" i="57"/>
  <c r="H280" i="41"/>
  <c r="J490" i="41"/>
  <c r="G114" i="66"/>
  <c r="I369" i="41"/>
  <c r="I387" i="41"/>
  <c r="H308" i="41"/>
  <c r="H411" i="41"/>
  <c r="G149" i="66"/>
  <c r="D42" i="57"/>
  <c r="H403" i="41"/>
  <c r="H413" i="41"/>
  <c r="D48" i="57"/>
  <c r="G174" i="66"/>
  <c r="H243" i="41"/>
  <c r="J388" i="41"/>
  <c r="H279" i="41"/>
  <c r="H197" i="41"/>
  <c r="I491" i="41"/>
  <c r="G59" i="66"/>
  <c r="I426" i="41"/>
  <c r="G79" i="66"/>
  <c r="G169" i="66"/>
  <c r="D46" i="57"/>
  <c r="J207" i="41"/>
  <c r="G161" i="66"/>
  <c r="D44" i="57"/>
  <c r="J216" i="41"/>
  <c r="H181" i="41"/>
  <c r="H294" i="41"/>
  <c r="H228" i="41"/>
  <c r="H284" i="41"/>
  <c r="G35" i="66"/>
  <c r="D14" i="57"/>
  <c r="E4" i="53"/>
  <c r="F4" i="53" s="1"/>
  <c r="H10" i="53" s="1"/>
  <c r="H387" i="41"/>
  <c r="J225" i="41"/>
  <c r="I217" i="41"/>
  <c r="H337" i="41"/>
  <c r="J321" i="41"/>
  <c r="G18" i="66"/>
  <c r="G18" i="74" s="1"/>
  <c r="AC18" i="74" s="1"/>
  <c r="AD18" i="74" s="1"/>
  <c r="H490" i="41"/>
  <c r="D3" i="57"/>
  <c r="G5" i="66"/>
  <c r="H225" i="41"/>
  <c r="D9" i="57"/>
  <c r="H303" i="41"/>
  <c r="G30" i="66"/>
  <c r="J249" i="41"/>
  <c r="R176" i="66"/>
  <c r="H218" i="41"/>
  <c r="I165" i="41"/>
  <c r="H274" i="41"/>
  <c r="H148" i="58"/>
  <c r="G105" i="66"/>
  <c r="E44" i="39"/>
  <c r="E127" i="38" s="1"/>
  <c r="J492" i="41"/>
  <c r="E17" i="39" s="1"/>
  <c r="H152" i="58"/>
  <c r="I153" i="41"/>
  <c r="J357" i="41"/>
  <c r="H315" i="41"/>
  <c r="H205" i="41"/>
  <c r="H270" i="41"/>
  <c r="H268" i="41"/>
  <c r="I303" i="41"/>
  <c r="H282" i="41"/>
  <c r="H293" i="41"/>
  <c r="H195" i="41"/>
  <c r="I144" i="41"/>
  <c r="H227" i="41"/>
  <c r="I267" i="41"/>
  <c r="H214" i="41"/>
  <c r="H211" i="41"/>
  <c r="H379" i="41"/>
  <c r="I269" i="41"/>
  <c r="H300" i="41"/>
  <c r="H169" i="41"/>
  <c r="H422" i="41"/>
  <c r="I260" i="41"/>
  <c r="H203" i="41"/>
  <c r="J141" i="41"/>
  <c r="H233" i="41"/>
  <c r="H238" i="41"/>
  <c r="H317" i="41"/>
  <c r="H198" i="41"/>
  <c r="H290" i="41"/>
  <c r="H250" i="41"/>
  <c r="D53" i="57"/>
  <c r="G179" i="66"/>
  <c r="E10" i="53"/>
  <c r="F10" i="53" s="1"/>
  <c r="J387" i="41"/>
  <c r="H149" i="41"/>
  <c r="I388" i="41"/>
  <c r="H406" i="41"/>
  <c r="H259" i="41"/>
  <c r="J191" i="41"/>
  <c r="H371" i="41"/>
  <c r="I305" i="41"/>
  <c r="H251" i="66"/>
  <c r="J451" i="58"/>
  <c r="I313" i="41"/>
  <c r="J295" i="41"/>
  <c r="H251" i="41"/>
  <c r="I414" i="41"/>
  <c r="J369" i="41"/>
  <c r="H180" i="41"/>
  <c r="H221" i="41"/>
  <c r="I397" i="41"/>
  <c r="H417" i="41"/>
  <c r="H161" i="41"/>
  <c r="H313" i="41"/>
  <c r="I294" i="41"/>
  <c r="C44" i="39"/>
  <c r="E93" i="38" s="1"/>
  <c r="G9" i="66"/>
  <c r="H492" i="41"/>
  <c r="C17" i="39" s="1"/>
  <c r="G201" i="66"/>
  <c r="L44" i="39"/>
  <c r="E161" i="38" s="1"/>
  <c r="J277" i="41"/>
  <c r="D2" i="57"/>
  <c r="G26" i="66"/>
  <c r="H141" i="41"/>
  <c r="J296" i="41"/>
  <c r="D43" i="57"/>
  <c r="H493" i="58"/>
  <c r="E395" i="38"/>
  <c r="H494" i="58"/>
  <c r="G183" i="66"/>
  <c r="H230" i="41"/>
  <c r="G30" i="74" l="1"/>
  <c r="G59" i="74"/>
  <c r="AA48" i="74"/>
  <c r="Z48" i="74"/>
  <c r="O142" i="66"/>
  <c r="AA142" i="66" s="1"/>
  <c r="G9" i="74"/>
  <c r="G79" i="74"/>
  <c r="G105" i="74"/>
  <c r="N53" i="74"/>
  <c r="P286" i="66"/>
  <c r="O203" i="66"/>
  <c r="O124" i="66"/>
  <c r="P268" i="66" s="1"/>
  <c r="R268" i="66" s="1"/>
  <c r="S268" i="66" s="1"/>
  <c r="U268" i="66" s="1"/>
  <c r="AB162" i="66"/>
  <c r="AC162" i="66" s="1"/>
  <c r="G15" i="74"/>
  <c r="AC15" i="74" s="1"/>
  <c r="AD15" i="74" s="1"/>
  <c r="B6" i="75" s="1"/>
  <c r="E6" i="75" s="1"/>
  <c r="G14" i="74"/>
  <c r="O14" i="74" s="1"/>
  <c r="Z14" i="74" s="1"/>
  <c r="G17" i="74"/>
  <c r="G5" i="74"/>
  <c r="AC5" i="74" s="1"/>
  <c r="B19" i="75" s="1"/>
  <c r="G26" i="74"/>
  <c r="G11" i="74"/>
  <c r="O11" i="74" s="1"/>
  <c r="Z11" i="74" s="1"/>
  <c r="AB223" i="66"/>
  <c r="AC223" i="66" s="1"/>
  <c r="N77" i="74"/>
  <c r="Z125" i="74"/>
  <c r="G19" i="74"/>
  <c r="AC19" i="74" s="1"/>
  <c r="AD19" i="74" s="1"/>
  <c r="B7" i="75" s="1"/>
  <c r="E7" i="75" s="1"/>
  <c r="O155" i="66"/>
  <c r="AB258" i="66"/>
  <c r="AC258" i="66" s="1"/>
  <c r="G24" i="74"/>
  <c r="O24" i="74" s="1"/>
  <c r="AD128" i="74"/>
  <c r="C12" i="75" s="1"/>
  <c r="C27" i="75"/>
  <c r="AD5" i="74"/>
  <c r="B4" i="75" s="1"/>
  <c r="G20" i="74"/>
  <c r="AD31" i="74"/>
  <c r="B11" i="75" s="1"/>
  <c r="E11" i="75" s="1"/>
  <c r="B26" i="75"/>
  <c r="E26" i="75" s="1"/>
  <c r="AD118" i="74"/>
  <c r="G114" i="74"/>
  <c r="O114" i="74" s="1"/>
  <c r="AA114" i="74" s="1"/>
  <c r="N92" i="74"/>
  <c r="N59" i="74"/>
  <c r="AC59" i="74" s="1"/>
  <c r="AD59" i="74" s="1"/>
  <c r="G57" i="74"/>
  <c r="G39" i="74"/>
  <c r="I20" i="74"/>
  <c r="O77" i="74"/>
  <c r="AC77" i="74"/>
  <c r="AD77" i="74" s="1"/>
  <c r="N80" i="74"/>
  <c r="O106" i="66"/>
  <c r="Z250" i="66" s="1"/>
  <c r="O108" i="66"/>
  <c r="P108" i="66" s="1"/>
  <c r="R108" i="66" s="1"/>
  <c r="S108" i="66" s="1"/>
  <c r="U108" i="66" s="1"/>
  <c r="G34" i="74"/>
  <c r="Z118" i="74"/>
  <c r="AA118" i="74"/>
  <c r="AA286" i="66"/>
  <c r="I116" i="74"/>
  <c r="N78" i="74"/>
  <c r="AB142" i="66"/>
  <c r="AC142" i="66" s="1"/>
  <c r="AC66" i="74"/>
  <c r="AD66" i="74" s="1"/>
  <c r="O5" i="74"/>
  <c r="Z5" i="74" s="1"/>
  <c r="G42" i="74"/>
  <c r="H122" i="74"/>
  <c r="N96" i="74"/>
  <c r="AB108" i="66"/>
  <c r="AC108" i="66" s="1"/>
  <c r="O15" i="74"/>
  <c r="AB106" i="66"/>
  <c r="AC106" i="66" s="1"/>
  <c r="V12" i="74"/>
  <c r="R12" i="74"/>
  <c r="G107" i="74"/>
  <c r="H119" i="74"/>
  <c r="G35" i="74"/>
  <c r="O79" i="74"/>
  <c r="AC79" i="74"/>
  <c r="AD79" i="74" s="1"/>
  <c r="N88" i="74"/>
  <c r="O18" i="74"/>
  <c r="AA18" i="74" s="1"/>
  <c r="P28" i="74"/>
  <c r="Z28" i="74"/>
  <c r="AA28" i="74"/>
  <c r="V46" i="74"/>
  <c r="R46" i="74"/>
  <c r="N74" i="74"/>
  <c r="N73" i="74"/>
  <c r="O59" i="74"/>
  <c r="P10" i="74"/>
  <c r="AA10" i="74"/>
  <c r="Z10" i="74"/>
  <c r="O251" i="66"/>
  <c r="H107" i="74"/>
  <c r="G25" i="74"/>
  <c r="I68" i="74"/>
  <c r="N90" i="74"/>
  <c r="N70" i="74"/>
  <c r="AB124" i="66"/>
  <c r="AC124" i="66" s="1"/>
  <c r="P128" i="74"/>
  <c r="AA128" i="74"/>
  <c r="Z128" i="74"/>
  <c r="Z60" i="74"/>
  <c r="AA60" i="74"/>
  <c r="Z94" i="74"/>
  <c r="AA94" i="74"/>
  <c r="AC106" i="74"/>
  <c r="AD106" i="74" s="1"/>
  <c r="O106" i="74"/>
  <c r="P106" i="74" s="1"/>
  <c r="N39" i="66"/>
  <c r="AB39" i="66" s="1"/>
  <c r="AC39" i="66" s="1"/>
  <c r="V48" i="74"/>
  <c r="R48" i="74"/>
  <c r="V144" i="74"/>
  <c r="W144" i="74"/>
  <c r="Y144" i="74" s="1"/>
  <c r="R144" i="74"/>
  <c r="S144" i="74" s="1"/>
  <c r="U144" i="74" s="1"/>
  <c r="O108" i="74"/>
  <c r="P108" i="74" s="1"/>
  <c r="AC108" i="74"/>
  <c r="AD108" i="74" s="1"/>
  <c r="N183" i="66"/>
  <c r="AB183" i="66" s="1"/>
  <c r="AC183" i="66" s="1"/>
  <c r="G184" i="66"/>
  <c r="AB184" i="66" s="1"/>
  <c r="AC184" i="66" s="1"/>
  <c r="G271" i="66"/>
  <c r="O271" i="66" s="1"/>
  <c r="AA76" i="74"/>
  <c r="Z76" i="74"/>
  <c r="Z31" i="66"/>
  <c r="AA31" i="74"/>
  <c r="Z31" i="74"/>
  <c r="AA175" i="66"/>
  <c r="AC124" i="74"/>
  <c r="AD124" i="74" s="1"/>
  <c r="O124" i="74"/>
  <c r="P124" i="74" s="1"/>
  <c r="AA58" i="74"/>
  <c r="Z58" i="74"/>
  <c r="O210" i="66"/>
  <c r="O142" i="74"/>
  <c r="P142" i="74" s="1"/>
  <c r="AC142" i="74"/>
  <c r="AD142" i="74" s="1"/>
  <c r="AA24" i="74"/>
  <c r="Z24" i="74"/>
  <c r="AB5" i="66"/>
  <c r="AC5" i="66" s="1"/>
  <c r="AB169" i="66"/>
  <c r="AC169" i="66" s="1"/>
  <c r="AB107" i="66"/>
  <c r="AC107" i="66" s="1"/>
  <c r="AB178" i="66"/>
  <c r="AC178" i="66" s="1"/>
  <c r="AB14" i="66"/>
  <c r="AC14" i="66" s="1"/>
  <c r="AB158" i="66"/>
  <c r="AC158" i="66" s="1"/>
  <c r="AB221" i="66"/>
  <c r="AC221" i="66" s="1"/>
  <c r="AB224" i="66"/>
  <c r="AC224" i="66" s="1"/>
  <c r="AB149" i="66"/>
  <c r="AC149" i="66" s="1"/>
  <c r="AB24" i="66"/>
  <c r="AC24" i="66" s="1"/>
  <c r="AB203" i="66"/>
  <c r="AC203" i="66" s="1"/>
  <c r="AB80" i="66"/>
  <c r="AC80" i="66" s="1"/>
  <c r="AB18" i="66"/>
  <c r="AC18" i="66" s="1"/>
  <c r="AB59" i="66"/>
  <c r="AC59" i="66" s="1"/>
  <c r="AB66" i="66"/>
  <c r="AC66" i="66" s="1"/>
  <c r="AB25" i="66"/>
  <c r="AC25" i="66" s="1"/>
  <c r="AB11" i="66"/>
  <c r="AC11" i="66" s="1"/>
  <c r="AB96" i="66"/>
  <c r="AC96" i="66" s="1"/>
  <c r="AB236" i="66"/>
  <c r="AC236" i="66" s="1"/>
  <c r="AB77" i="66"/>
  <c r="AC77" i="66" s="1"/>
  <c r="AB240" i="66"/>
  <c r="AC240" i="66" s="1"/>
  <c r="AB92" i="66"/>
  <c r="AC92" i="66" s="1"/>
  <c r="AB79" i="66"/>
  <c r="AC79" i="66" s="1"/>
  <c r="AB15" i="66"/>
  <c r="AC15" i="66" s="1"/>
  <c r="AB114" i="66"/>
  <c r="AC114" i="66" s="1"/>
  <c r="AB34" i="66"/>
  <c r="AC34" i="66" s="1"/>
  <c r="AB168" i="66"/>
  <c r="AC168" i="66" s="1"/>
  <c r="AB19" i="66"/>
  <c r="AC19" i="66" s="1"/>
  <c r="AB163" i="66"/>
  <c r="AC163" i="66" s="1"/>
  <c r="AB159" i="66"/>
  <c r="AC159" i="66" s="1"/>
  <c r="AB70" i="66"/>
  <c r="AC70" i="66" s="1"/>
  <c r="AB214" i="66"/>
  <c r="AC214" i="66" s="1"/>
  <c r="AB251" i="66"/>
  <c r="AC251" i="66" s="1"/>
  <c r="P142" i="66"/>
  <c r="R142" i="66" s="1"/>
  <c r="S142" i="66" s="1"/>
  <c r="U142" i="66" s="1"/>
  <c r="Z142" i="66"/>
  <c r="Z286" i="66"/>
  <c r="O168" i="66"/>
  <c r="O178" i="66"/>
  <c r="O14" i="66"/>
  <c r="O236" i="66"/>
  <c r="O92" i="66"/>
  <c r="O149" i="66"/>
  <c r="O19" i="66"/>
  <c r="O163" i="66"/>
  <c r="O11" i="66"/>
  <c r="O66" i="66"/>
  <c r="O159" i="66"/>
  <c r="O70" i="66"/>
  <c r="O24" i="66"/>
  <c r="O25" i="66"/>
  <c r="O214" i="66"/>
  <c r="O18" i="66"/>
  <c r="AA162" i="66" s="1"/>
  <c r="O158" i="66"/>
  <c r="O221" i="66"/>
  <c r="O224" i="66"/>
  <c r="O169" i="66"/>
  <c r="O79" i="66"/>
  <c r="AA223" i="66" s="1"/>
  <c r="O5" i="66"/>
  <c r="O15" i="66"/>
  <c r="O77" i="66"/>
  <c r="O240" i="66"/>
  <c r="O114" i="66"/>
  <c r="Z258" i="66" s="1"/>
  <c r="O34" i="66"/>
  <c r="O59" i="66"/>
  <c r="AA59" i="66" s="1"/>
  <c r="R238" i="66"/>
  <c r="S238" i="66" s="1"/>
  <c r="U238" i="66" s="1"/>
  <c r="O96" i="66"/>
  <c r="F28" i="39"/>
  <c r="O80" i="66"/>
  <c r="F27" i="39"/>
  <c r="R272" i="66"/>
  <c r="S272" i="66" s="1"/>
  <c r="U272" i="66" s="1"/>
  <c r="M7" i="41"/>
  <c r="J440" i="41"/>
  <c r="O107" i="66"/>
  <c r="Z251" i="66" s="1"/>
  <c r="C50" i="39"/>
  <c r="E97" i="38" s="1"/>
  <c r="H164" i="41"/>
  <c r="K49" i="39"/>
  <c r="E147" i="38" s="1"/>
  <c r="K51" i="39"/>
  <c r="E149" i="38" s="1"/>
  <c r="C36" i="63"/>
  <c r="C49" i="39"/>
  <c r="E96" i="38" s="1"/>
  <c r="C47" i="39"/>
  <c r="E94" i="38" s="1"/>
  <c r="K48" i="39"/>
  <c r="E146" i="38" s="1"/>
  <c r="E401" i="38"/>
  <c r="H496" i="58" s="1"/>
  <c r="H156" i="41"/>
  <c r="C51" i="39"/>
  <c r="E98" i="38" s="1"/>
  <c r="K50" i="39"/>
  <c r="E148" i="38" s="1"/>
  <c r="R144" i="66"/>
  <c r="S144" i="66" s="1"/>
  <c r="U144" i="66" s="1"/>
  <c r="K153" i="66"/>
  <c r="H471" i="58"/>
  <c r="K47" i="39"/>
  <c r="E145" i="38" s="1"/>
  <c r="C6" i="63"/>
  <c r="H152" i="41"/>
  <c r="R128" i="66"/>
  <c r="S128" i="66" s="1"/>
  <c r="U128" i="66" s="1"/>
  <c r="K201" i="66"/>
  <c r="I471" i="58"/>
  <c r="H148" i="41"/>
  <c r="C5" i="63"/>
  <c r="C48" i="39"/>
  <c r="E95" i="38" s="1"/>
  <c r="E398" i="38"/>
  <c r="D29" i="39"/>
  <c r="D32" i="39"/>
  <c r="D33" i="39" s="1"/>
  <c r="H160" i="4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G127" i="66"/>
  <c r="J426" i="41"/>
  <c r="K57" i="66"/>
  <c r="I471" i="37"/>
  <c r="H493" i="41"/>
  <c r="G40" i="66"/>
  <c r="K105" i="66"/>
  <c r="J471" i="37"/>
  <c r="I156" i="41"/>
  <c r="J451" i="41"/>
  <c r="H471" i="37"/>
  <c r="K9" i="66"/>
  <c r="R286" i="66"/>
  <c r="S286" i="66" s="1"/>
  <c r="U286" i="66" s="1"/>
  <c r="J471" i="58"/>
  <c r="K249" i="66"/>
  <c r="O249" i="66" s="1"/>
  <c r="J156" i="41"/>
  <c r="C4" i="63"/>
  <c r="E9" i="53"/>
  <c r="F9" i="53" s="1"/>
  <c r="G185" i="66"/>
  <c r="C35" i="63"/>
  <c r="Z25" i="66"/>
  <c r="AA169" i="66"/>
  <c r="H494" i="41"/>
  <c r="E3" i="53"/>
  <c r="F3" i="53" s="1"/>
  <c r="H9" i="53" s="1"/>
  <c r="G41" i="66"/>
  <c r="B21" i="75" l="1"/>
  <c r="E21" i="75" s="1"/>
  <c r="AA15" i="66"/>
  <c r="Z210" i="66"/>
  <c r="AA268" i="66"/>
  <c r="Z124" i="66"/>
  <c r="Z268" i="66"/>
  <c r="P124" i="66"/>
  <c r="R124" i="66" s="1"/>
  <c r="S124" i="66" s="1"/>
  <c r="U124" i="66" s="1"/>
  <c r="K9" i="74"/>
  <c r="T9" i="74" s="1"/>
  <c r="G40" i="74"/>
  <c r="O40" i="74" s="1"/>
  <c r="AA124" i="66"/>
  <c r="AA14" i="74"/>
  <c r="Z5" i="66"/>
  <c r="Z15" i="66"/>
  <c r="AA14" i="66"/>
  <c r="AC14" i="74"/>
  <c r="AD14" i="74" s="1"/>
  <c r="E4" i="75"/>
  <c r="E19" i="75"/>
  <c r="Z19" i="66"/>
  <c r="AA5" i="74"/>
  <c r="O19" i="74"/>
  <c r="Z106" i="66"/>
  <c r="O92" i="74"/>
  <c r="Z92" i="74" s="1"/>
  <c r="AC92" i="74"/>
  <c r="AD92" i="74" s="1"/>
  <c r="AC11" i="74"/>
  <c r="AD11" i="74" s="1"/>
  <c r="Z11" i="66"/>
  <c r="AA79" i="66"/>
  <c r="Z163" i="66"/>
  <c r="Z79" i="66"/>
  <c r="AA252" i="66"/>
  <c r="Z162" i="66"/>
  <c r="O184" i="66"/>
  <c r="Z159" i="66"/>
  <c r="AA159" i="66"/>
  <c r="G41" i="74"/>
  <c r="B22" i="75"/>
  <c r="E22" i="75" s="1"/>
  <c r="G127" i="74"/>
  <c r="O127" i="74" s="1"/>
  <c r="O39" i="66"/>
  <c r="AA210" i="66"/>
  <c r="O183" i="66"/>
  <c r="AC24" i="74"/>
  <c r="AD24" i="74" s="1"/>
  <c r="AA114" i="66"/>
  <c r="AC9" i="74"/>
  <c r="AD9" i="74" s="1"/>
  <c r="AC114" i="74"/>
  <c r="AD114" i="74" s="1"/>
  <c r="O9" i="74"/>
  <c r="P9" i="74" s="1"/>
  <c r="Z155" i="66"/>
  <c r="N39" i="74"/>
  <c r="AC39" i="74" s="1"/>
  <c r="AD39" i="74" s="1"/>
  <c r="Z252" i="66"/>
  <c r="AA108" i="66"/>
  <c r="P252" i="66"/>
  <c r="R252" i="66" s="1"/>
  <c r="S252" i="66" s="1"/>
  <c r="U252" i="66" s="1"/>
  <c r="Z108" i="66"/>
  <c r="V128" i="74"/>
  <c r="W128" i="74"/>
  <c r="Y128" i="74" s="1"/>
  <c r="R128" i="74"/>
  <c r="S128" i="74" s="1"/>
  <c r="U128" i="74" s="1"/>
  <c r="AB57" i="66"/>
  <c r="K57" i="74"/>
  <c r="Z178" i="66"/>
  <c r="S9" i="74"/>
  <c r="U9" i="74" s="1"/>
  <c r="O70" i="74"/>
  <c r="AC70" i="74"/>
  <c r="AD70" i="74" s="1"/>
  <c r="P250" i="66"/>
  <c r="R250" i="66" s="1"/>
  <c r="S250" i="66" s="1"/>
  <c r="U250" i="66" s="1"/>
  <c r="AA106" i="66"/>
  <c r="P106" i="66"/>
  <c r="R106" i="66" s="1"/>
  <c r="S106" i="66" s="1"/>
  <c r="U106" i="66" s="1"/>
  <c r="AA250" i="66"/>
  <c r="AB271" i="66"/>
  <c r="AC271" i="66" s="1"/>
  <c r="Q9" i="74"/>
  <c r="W9" i="74" s="1"/>
  <c r="O107" i="74"/>
  <c r="AC107" i="74"/>
  <c r="AD107" i="74" s="1"/>
  <c r="O80" i="74"/>
  <c r="AC80" i="74"/>
  <c r="AD80" i="74" s="1"/>
  <c r="X9" i="74"/>
  <c r="Z158" i="66"/>
  <c r="AC40" i="74"/>
  <c r="AD40" i="74" s="1"/>
  <c r="O25" i="74"/>
  <c r="AA25" i="74" s="1"/>
  <c r="AC25" i="74"/>
  <c r="AA77" i="74"/>
  <c r="Z77" i="74"/>
  <c r="R28" i="74"/>
  <c r="V28" i="74"/>
  <c r="AB105" i="66"/>
  <c r="AC105" i="66" s="1"/>
  <c r="K105" i="74"/>
  <c r="R10" i="74"/>
  <c r="V10" i="74"/>
  <c r="AC96" i="74"/>
  <c r="AD96" i="74" s="1"/>
  <c r="O96" i="74"/>
  <c r="AC34" i="74"/>
  <c r="O34" i="74"/>
  <c r="AA11" i="74"/>
  <c r="AA15" i="74"/>
  <c r="Z15" i="74"/>
  <c r="K170" i="66"/>
  <c r="O170" i="66" s="1"/>
  <c r="AA124" i="74"/>
  <c r="Z124" i="74"/>
  <c r="K20" i="66"/>
  <c r="T20" i="66" s="1"/>
  <c r="Z114" i="74"/>
  <c r="Z106" i="74"/>
  <c r="AA106" i="74"/>
  <c r="V94" i="74"/>
  <c r="R94" i="74"/>
  <c r="S94" i="74" s="1"/>
  <c r="U94" i="74" s="1"/>
  <c r="W94" i="74"/>
  <c r="Y94" i="74" s="1"/>
  <c r="AA59" i="74"/>
  <c r="Z66" i="74"/>
  <c r="V60" i="74"/>
  <c r="W60" i="74"/>
  <c r="Y60" i="74" s="1"/>
  <c r="R60" i="74"/>
  <c r="S60" i="74" s="1"/>
  <c r="U60" i="74" s="1"/>
  <c r="Z59" i="74"/>
  <c r="AA66" i="74"/>
  <c r="K17" i="66"/>
  <c r="S17" i="66" s="1"/>
  <c r="V76" i="74"/>
  <c r="R76" i="74"/>
  <c r="S76" i="74" s="1"/>
  <c r="U76" i="74" s="1"/>
  <c r="W76" i="74"/>
  <c r="Y76" i="74" s="1"/>
  <c r="K30" i="66"/>
  <c r="AA108" i="74"/>
  <c r="Z108" i="74"/>
  <c r="AA79" i="74"/>
  <c r="Z79" i="74"/>
  <c r="AA40" i="74"/>
  <c r="Z18" i="74"/>
  <c r="K186" i="66"/>
  <c r="O186" i="66" s="1"/>
  <c r="Z40" i="74"/>
  <c r="Z14" i="66"/>
  <c r="AA11" i="66"/>
  <c r="K161" i="66"/>
  <c r="AB161" i="66" s="1"/>
  <c r="AC161" i="66" s="1"/>
  <c r="AA158" i="66"/>
  <c r="AA155" i="66"/>
  <c r="H464" i="58"/>
  <c r="AA142" i="74"/>
  <c r="Z142" i="74"/>
  <c r="V58" i="74"/>
  <c r="R58" i="74"/>
  <c r="S58" i="74" s="1"/>
  <c r="U58" i="74" s="1"/>
  <c r="W58" i="74"/>
  <c r="Y58" i="74" s="1"/>
  <c r="H465" i="37"/>
  <c r="AA25" i="66"/>
  <c r="Z114" i="66"/>
  <c r="AA34" i="66"/>
  <c r="Z70" i="66"/>
  <c r="AA224" i="66"/>
  <c r="Z221" i="66"/>
  <c r="Z169" i="66"/>
  <c r="AB249" i="66"/>
  <c r="AC249" i="66" s="1"/>
  <c r="AB170" i="66"/>
  <c r="AC170" i="66" s="1"/>
  <c r="AB40" i="66"/>
  <c r="AC40" i="66" s="1"/>
  <c r="Z77" i="66"/>
  <c r="AC57" i="66"/>
  <c r="AA92" i="66"/>
  <c r="AB153" i="66"/>
  <c r="AC153" i="66" s="1"/>
  <c r="AB127" i="66"/>
  <c r="AC127" i="66" s="1"/>
  <c r="AB201" i="66"/>
  <c r="AC201" i="66" s="1"/>
  <c r="AB9" i="66"/>
  <c r="AC9" i="66" s="1"/>
  <c r="Z92" i="66"/>
  <c r="Z236" i="66"/>
  <c r="AA163" i="66"/>
  <c r="AA236" i="66"/>
  <c r="Z96" i="66"/>
  <c r="AA5" i="66"/>
  <c r="Z214" i="66"/>
  <c r="AA70" i="66"/>
  <c r="AA258" i="66"/>
  <c r="AA214" i="66"/>
  <c r="AA19" i="66"/>
  <c r="H5" i="6"/>
  <c r="AA149" i="66"/>
  <c r="Z66" i="66"/>
  <c r="Z149" i="66"/>
  <c r="AA66" i="66"/>
  <c r="Z18" i="66"/>
  <c r="AA77" i="66"/>
  <c r="AA18" i="66"/>
  <c r="AA221" i="66"/>
  <c r="Z168" i="66"/>
  <c r="AA178" i="66"/>
  <c r="O40" i="66"/>
  <c r="AA184" i="66" s="1"/>
  <c r="AA168" i="66"/>
  <c r="O127" i="66"/>
  <c r="Z127" i="66" s="1"/>
  <c r="AA24" i="66"/>
  <c r="Z24" i="66"/>
  <c r="Z223" i="66"/>
  <c r="Z34" i="66"/>
  <c r="Z203" i="66"/>
  <c r="AA203" i="66"/>
  <c r="Z59" i="66"/>
  <c r="F17" i="39"/>
  <c r="E280" i="38"/>
  <c r="E286" i="38"/>
  <c r="E292" i="38"/>
  <c r="E298" i="38"/>
  <c r="I7" i="6"/>
  <c r="AA240" i="66"/>
  <c r="P224" i="66"/>
  <c r="R224" i="66" s="1"/>
  <c r="S224" i="66" s="1"/>
  <c r="U224" i="66" s="1"/>
  <c r="Z240" i="66"/>
  <c r="P240" i="66"/>
  <c r="AA96" i="66"/>
  <c r="P96" i="66"/>
  <c r="G17" i="39"/>
  <c r="Z80" i="66"/>
  <c r="P80" i="66"/>
  <c r="Z224" i="66"/>
  <c r="I6" i="6"/>
  <c r="AA80" i="66"/>
  <c r="M9" i="41"/>
  <c r="Z107" i="66"/>
  <c r="AA107" i="66"/>
  <c r="AA251" i="66"/>
  <c r="H464" i="37"/>
  <c r="H464" i="41" s="1"/>
  <c r="D2" i="53"/>
  <c r="F2" i="53" s="1"/>
  <c r="H8" i="53" s="1"/>
  <c r="H457" i="58"/>
  <c r="H465" i="58"/>
  <c r="H457" i="37"/>
  <c r="H495" i="58"/>
  <c r="C41" i="63" s="1"/>
  <c r="H455" i="37"/>
  <c r="H456" i="58"/>
  <c r="K174" i="66"/>
  <c r="H471" i="41"/>
  <c r="K42" i="66"/>
  <c r="K42" i="74" s="1"/>
  <c r="E30" i="39"/>
  <c r="H497" i="58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O30" i="66"/>
  <c r="S30" i="66"/>
  <c r="Q30" i="66"/>
  <c r="T30" i="66"/>
  <c r="K26" i="66"/>
  <c r="K26" i="74" s="1"/>
  <c r="X26" i="74" s="1"/>
  <c r="H456" i="37"/>
  <c r="O153" i="66"/>
  <c r="S153" i="66"/>
  <c r="T153" i="66"/>
  <c r="Q153" i="66"/>
  <c r="O57" i="66"/>
  <c r="Q57" i="66"/>
  <c r="T57" i="66"/>
  <c r="K17" i="39"/>
  <c r="M8" i="41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O9" i="66"/>
  <c r="S9" i="66"/>
  <c r="T9" i="66"/>
  <c r="Q9" i="66"/>
  <c r="O201" i="66"/>
  <c r="T201" i="66"/>
  <c r="Q201" i="66"/>
  <c r="E411" i="38"/>
  <c r="G181" i="66"/>
  <c r="J471" i="41"/>
  <c r="Q17" i="39"/>
  <c r="P29" i="39"/>
  <c r="Q29" i="39" s="1"/>
  <c r="Z40" i="66"/>
  <c r="AA40" i="66"/>
  <c r="G9" i="53"/>
  <c r="H3" i="53"/>
  <c r="G3" i="53" s="1"/>
  <c r="O105" i="66"/>
  <c r="T105" i="66"/>
  <c r="Q105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O161" i="66"/>
  <c r="S161" i="66"/>
  <c r="T161" i="66"/>
  <c r="Q161" i="66"/>
  <c r="Q249" i="66"/>
  <c r="T249" i="66"/>
  <c r="H497" i="37"/>
  <c r="H495" i="37"/>
  <c r="H496" i="37"/>
  <c r="D8" i="53"/>
  <c r="F8" i="53" s="1"/>
  <c r="H2" i="53" s="1"/>
  <c r="H455" i="58"/>
  <c r="K164" i="66"/>
  <c r="AA183" i="66" l="1"/>
  <c r="AA39" i="66"/>
  <c r="Z183" i="66"/>
  <c r="Z39" i="66"/>
  <c r="AA271" i="66"/>
  <c r="Z9" i="74"/>
  <c r="AA92" i="74"/>
  <c r="Z25" i="74"/>
  <c r="AA19" i="74"/>
  <c r="Z19" i="74"/>
  <c r="AB17" i="66"/>
  <c r="AC17" i="66" s="1"/>
  <c r="T17" i="66"/>
  <c r="U17" i="66" s="1"/>
  <c r="S186" i="66"/>
  <c r="Q186" i="66"/>
  <c r="Q17" i="66"/>
  <c r="T186" i="66"/>
  <c r="U186" i="66" s="1"/>
  <c r="AA9" i="74"/>
  <c r="AC127" i="74"/>
  <c r="AD127" i="74" s="1"/>
  <c r="C11" i="75" s="1"/>
  <c r="Y9" i="74"/>
  <c r="O39" i="74"/>
  <c r="Z39" i="74" s="1"/>
  <c r="T170" i="66"/>
  <c r="Q170" i="66"/>
  <c r="AD34" i="74"/>
  <c r="B13" i="75" s="1"/>
  <c r="E13" i="75" s="1"/>
  <c r="B28" i="75"/>
  <c r="E28" i="75" s="1"/>
  <c r="S170" i="66"/>
  <c r="AD25" i="74"/>
  <c r="B9" i="75" s="1"/>
  <c r="E9" i="75" s="1"/>
  <c r="B24" i="75"/>
  <c r="E24" i="75" s="1"/>
  <c r="P80" i="74"/>
  <c r="AA80" i="74"/>
  <c r="Z80" i="74"/>
  <c r="Z107" i="74"/>
  <c r="AA107" i="74"/>
  <c r="AB30" i="66"/>
  <c r="AC30" i="66" s="1"/>
  <c r="K30" i="74"/>
  <c r="T30" i="74" s="1"/>
  <c r="O26" i="74"/>
  <c r="P26" i="74" s="1"/>
  <c r="Q57" i="74"/>
  <c r="X57" i="74"/>
  <c r="T57" i="74"/>
  <c r="AC57" i="74"/>
  <c r="AD57" i="74" s="1"/>
  <c r="AC26" i="74"/>
  <c r="Z34" i="74"/>
  <c r="AA34" i="74"/>
  <c r="H465" i="41"/>
  <c r="AB186" i="66"/>
  <c r="AC186" i="66" s="1"/>
  <c r="S26" i="74"/>
  <c r="T26" i="74"/>
  <c r="K20" i="74"/>
  <c r="T20" i="74" s="1"/>
  <c r="P96" i="74"/>
  <c r="Z96" i="74"/>
  <c r="AA96" i="74"/>
  <c r="O17" i="66"/>
  <c r="P17" i="66" s="1"/>
  <c r="K17" i="74"/>
  <c r="X17" i="74" s="1"/>
  <c r="Q26" i="74"/>
  <c r="W26" i="74" s="1"/>
  <c r="Y26" i="74" s="1"/>
  <c r="AC105" i="74"/>
  <c r="AD105" i="74" s="1"/>
  <c r="X105" i="74"/>
  <c r="Q105" i="74"/>
  <c r="T105" i="74"/>
  <c r="O105" i="74"/>
  <c r="Z70" i="74"/>
  <c r="AA70" i="74"/>
  <c r="O57" i="74"/>
  <c r="G180" i="66"/>
  <c r="V142" i="74"/>
  <c r="W142" i="74"/>
  <c r="Y142" i="74" s="1"/>
  <c r="R142" i="74"/>
  <c r="S142" i="74" s="1"/>
  <c r="U142" i="74" s="1"/>
  <c r="X30" i="74"/>
  <c r="V124" i="74"/>
  <c r="W124" i="74"/>
  <c r="Y124" i="74" s="1"/>
  <c r="R124" i="74"/>
  <c r="S124" i="74" s="1"/>
  <c r="U124" i="74" s="1"/>
  <c r="V9" i="74"/>
  <c r="R9" i="74"/>
  <c r="T42" i="74"/>
  <c r="Q42" i="74"/>
  <c r="W42" i="74" s="1"/>
  <c r="X42" i="74"/>
  <c r="S42" i="74"/>
  <c r="O42" i="74"/>
  <c r="P42" i="74" s="1"/>
  <c r="AC42" i="74"/>
  <c r="AA39" i="74"/>
  <c r="V106" i="74"/>
  <c r="W106" i="74"/>
  <c r="Y106" i="74" s="1"/>
  <c r="R106" i="74"/>
  <c r="S106" i="74" s="1"/>
  <c r="U106" i="74" s="1"/>
  <c r="N179" i="66"/>
  <c r="AA127" i="74"/>
  <c r="Z127" i="74"/>
  <c r="V108" i="74"/>
  <c r="W108" i="74"/>
  <c r="Y108" i="74" s="1"/>
  <c r="R108" i="74"/>
  <c r="S108" i="74" s="1"/>
  <c r="U108" i="74" s="1"/>
  <c r="AB174" i="66"/>
  <c r="AC174" i="66" s="1"/>
  <c r="AB26" i="66"/>
  <c r="AC26" i="66" s="1"/>
  <c r="AB42" i="66"/>
  <c r="AC42" i="66" s="1"/>
  <c r="Z184" i="66"/>
  <c r="Z271" i="66"/>
  <c r="AA127" i="66"/>
  <c r="O42" i="66"/>
  <c r="P186" i="66" s="1"/>
  <c r="R186" i="66" s="1"/>
  <c r="O174" i="66"/>
  <c r="P174" i="66" s="1"/>
  <c r="E291" i="38"/>
  <c r="E297" i="38"/>
  <c r="E279" i="38"/>
  <c r="E285" i="38"/>
  <c r="N290" i="66"/>
  <c r="H455" i="41"/>
  <c r="R240" i="66"/>
  <c r="S240" i="66" s="1"/>
  <c r="U240" i="66" s="1"/>
  <c r="R96" i="66"/>
  <c r="S96" i="66" s="1"/>
  <c r="U96" i="66" s="1"/>
  <c r="R80" i="66"/>
  <c r="S80" i="66" s="1"/>
  <c r="U80" i="66" s="1"/>
  <c r="G2" i="53"/>
  <c r="E284" i="38" s="1"/>
  <c r="S174" i="66"/>
  <c r="H497" i="41"/>
  <c r="E410" i="38"/>
  <c r="H457" i="41"/>
  <c r="Q174" i="66"/>
  <c r="T174" i="66"/>
  <c r="Q42" i="66"/>
  <c r="S42" i="66"/>
  <c r="T42" i="66"/>
  <c r="P201" i="66"/>
  <c r="H456" i="41"/>
  <c r="U153" i="66"/>
  <c r="U161" i="66"/>
  <c r="U9" i="66"/>
  <c r="U30" i="66"/>
  <c r="AA249" i="66"/>
  <c r="P105" i="66"/>
  <c r="AA105" i="66"/>
  <c r="Z249" i="66"/>
  <c r="Z105" i="66"/>
  <c r="AA9" i="66"/>
  <c r="AA153" i="66"/>
  <c r="Z9" i="66"/>
  <c r="P9" i="66"/>
  <c r="Z153" i="66"/>
  <c r="N146" i="66"/>
  <c r="G8" i="53"/>
  <c r="E405" i="38"/>
  <c r="G37" i="66"/>
  <c r="G37" i="74" s="1"/>
  <c r="H496" i="41"/>
  <c r="P249" i="66"/>
  <c r="P153" i="66"/>
  <c r="M35" i="66"/>
  <c r="K29" i="39"/>
  <c r="T164" i="66"/>
  <c r="M179" i="66"/>
  <c r="N35" i="66"/>
  <c r="N35" i="74" s="1"/>
  <c r="B18" i="8"/>
  <c r="C11" i="63"/>
  <c r="H495" i="41"/>
  <c r="M181" i="66"/>
  <c r="O181" i="66" s="1"/>
  <c r="J29" i="39"/>
  <c r="Q26" i="66"/>
  <c r="S26" i="66"/>
  <c r="T26" i="66"/>
  <c r="O26" i="66"/>
  <c r="E404" i="38"/>
  <c r="G36" i="66"/>
  <c r="L29" i="39"/>
  <c r="AA57" i="66"/>
  <c r="AA201" i="66"/>
  <c r="P57" i="66"/>
  <c r="Z57" i="66"/>
  <c r="Z201" i="66"/>
  <c r="N146" i="74" l="1"/>
  <c r="AA17" i="66"/>
  <c r="O30" i="74"/>
  <c r="P30" i="74" s="1"/>
  <c r="Z17" i="66"/>
  <c r="O17" i="74"/>
  <c r="P17" i="74" s="1"/>
  <c r="AA161" i="66"/>
  <c r="P161" i="66"/>
  <c r="R161" i="66" s="1"/>
  <c r="Z161" i="66"/>
  <c r="AC30" i="74"/>
  <c r="AD30" i="74" s="1"/>
  <c r="C26" i="75"/>
  <c r="G36" i="74"/>
  <c r="S30" i="74"/>
  <c r="U30" i="74" s="1"/>
  <c r="U170" i="66"/>
  <c r="Q30" i="74"/>
  <c r="W30" i="74" s="1"/>
  <c r="Y30" i="74" s="1"/>
  <c r="X20" i="74"/>
  <c r="AA186" i="66"/>
  <c r="AA42" i="66"/>
  <c r="P42" i="66"/>
  <c r="R42" i="66" s="1"/>
  <c r="AD26" i="74"/>
  <c r="AD42" i="74"/>
  <c r="B14" i="75" s="1"/>
  <c r="E14" i="75" s="1"/>
  <c r="B29" i="75"/>
  <c r="E29" i="75" s="1"/>
  <c r="U26" i="74"/>
  <c r="AC17" i="74"/>
  <c r="AD17" i="74" s="1"/>
  <c r="S17" i="74"/>
  <c r="V96" i="74"/>
  <c r="R96" i="74"/>
  <c r="S96" i="74" s="1"/>
  <c r="U96" i="74" s="1"/>
  <c r="W96" i="74"/>
  <c r="Y96" i="74" s="1"/>
  <c r="P57" i="74"/>
  <c r="AA57" i="74"/>
  <c r="Z57" i="74"/>
  <c r="P30" i="66"/>
  <c r="R30" i="66" s="1"/>
  <c r="AA174" i="66"/>
  <c r="T17" i="74"/>
  <c r="P105" i="74"/>
  <c r="AA105" i="74"/>
  <c r="Z105" i="74"/>
  <c r="Q17" i="74"/>
  <c r="W17" i="74" s="1"/>
  <c r="Y17" i="74" s="1"/>
  <c r="AA30" i="66"/>
  <c r="Z174" i="66"/>
  <c r="Z30" i="66"/>
  <c r="M35" i="74"/>
  <c r="R80" i="74"/>
  <c r="S80" i="74" s="1"/>
  <c r="U80" i="74" s="1"/>
  <c r="V80" i="74"/>
  <c r="W80" i="74"/>
  <c r="Y80" i="74" s="1"/>
  <c r="Y42" i="74"/>
  <c r="N185" i="66"/>
  <c r="M180" i="66"/>
  <c r="AB180" i="66" s="1"/>
  <c r="AC180" i="66" s="1"/>
  <c r="Z42" i="74"/>
  <c r="AA42" i="74"/>
  <c r="U42" i="74"/>
  <c r="AA17" i="74"/>
  <c r="Z17" i="74"/>
  <c r="Z26" i="74"/>
  <c r="AA26" i="74"/>
  <c r="AA30" i="74"/>
  <c r="Z30" i="74"/>
  <c r="AB35" i="66"/>
  <c r="AC35" i="66" s="1"/>
  <c r="AB179" i="66"/>
  <c r="AC179" i="66" s="1"/>
  <c r="AB181" i="66"/>
  <c r="AC181" i="66" s="1"/>
  <c r="Z42" i="66"/>
  <c r="Z186" i="66"/>
  <c r="E296" i="38"/>
  <c r="E290" i="38"/>
  <c r="E278" i="38"/>
  <c r="N20" i="66"/>
  <c r="U174" i="66"/>
  <c r="R174" i="66"/>
  <c r="R201" i="66"/>
  <c r="S201" i="66" s="1"/>
  <c r="U201" i="66" s="1"/>
  <c r="U42" i="66"/>
  <c r="R153" i="66"/>
  <c r="R105" i="66"/>
  <c r="S105" i="66" s="1"/>
  <c r="U105" i="66" s="1"/>
  <c r="R17" i="66"/>
  <c r="S35" i="66"/>
  <c r="U35" i="66" s="1"/>
  <c r="Q35" i="66"/>
  <c r="O35" i="66"/>
  <c r="N41" i="66"/>
  <c r="N41" i="74" s="1"/>
  <c r="U26" i="66"/>
  <c r="R9" i="66"/>
  <c r="M36" i="66"/>
  <c r="P26" i="66"/>
  <c r="AA26" i="66"/>
  <c r="Z26" i="66"/>
  <c r="Z170" i="66"/>
  <c r="AA170" i="66"/>
  <c r="P170" i="66"/>
  <c r="M41" i="66"/>
  <c r="S179" i="66"/>
  <c r="U179" i="66" s="1"/>
  <c r="Q179" i="66"/>
  <c r="O179" i="66"/>
  <c r="M37" i="66"/>
  <c r="M37" i="74" s="1"/>
  <c r="O37" i="74" s="1"/>
  <c r="P37" i="74" s="1"/>
  <c r="R57" i="66"/>
  <c r="S57" i="66" s="1"/>
  <c r="U57" i="66" s="1"/>
  <c r="Q181" i="66"/>
  <c r="W181" i="66" s="1"/>
  <c r="Y181" i="66" s="1"/>
  <c r="S181" i="66"/>
  <c r="U181" i="66" s="1"/>
  <c r="M185" i="66"/>
  <c r="R249" i="66"/>
  <c r="S249" i="66" s="1"/>
  <c r="U249" i="66" s="1"/>
  <c r="B25" i="75" l="1"/>
  <c r="E25" i="75" s="1"/>
  <c r="B10" i="75"/>
  <c r="E10" i="75" s="1"/>
  <c r="O180" i="66"/>
  <c r="U17" i="74"/>
  <c r="R105" i="74"/>
  <c r="S105" i="74" s="1"/>
  <c r="U105" i="74" s="1"/>
  <c r="V105" i="74"/>
  <c r="W105" i="74"/>
  <c r="Y105" i="74" s="1"/>
  <c r="AC37" i="74"/>
  <c r="AD37" i="74" s="1"/>
  <c r="S37" i="74"/>
  <c r="U37" i="74" s="1"/>
  <c r="Q37" i="74"/>
  <c r="W37" i="74" s="1"/>
  <c r="Y37" i="74" s="1"/>
  <c r="S35" i="74"/>
  <c r="U35" i="74" s="1"/>
  <c r="Q35" i="74"/>
  <c r="W35" i="74" s="1"/>
  <c r="Y35" i="74" s="1"/>
  <c r="O35" i="74"/>
  <c r="AC35" i="74"/>
  <c r="AD35" i="74" s="1"/>
  <c r="O36" i="66"/>
  <c r="Z36" i="66" s="1"/>
  <c r="M36" i="74"/>
  <c r="V57" i="74"/>
  <c r="W57" i="74"/>
  <c r="Y57" i="74" s="1"/>
  <c r="R57" i="74"/>
  <c r="S57" i="74" s="1"/>
  <c r="U57" i="74" s="1"/>
  <c r="M41" i="74"/>
  <c r="R17" i="74"/>
  <c r="V17" i="74"/>
  <c r="V30" i="74"/>
  <c r="R30" i="74"/>
  <c r="M20" i="66"/>
  <c r="S20" i="66" s="1"/>
  <c r="U20" i="66" s="1"/>
  <c r="N164" i="66"/>
  <c r="N20" i="74" s="1"/>
  <c r="Z37" i="74"/>
  <c r="AA37" i="74"/>
  <c r="Q180" i="66"/>
  <c r="W180" i="66" s="1"/>
  <c r="Y180" i="66" s="1"/>
  <c r="S180" i="66"/>
  <c r="U180" i="66" s="1"/>
  <c r="V26" i="74"/>
  <c r="R26" i="74"/>
  <c r="V42" i="74"/>
  <c r="R42" i="74"/>
  <c r="AB41" i="66"/>
  <c r="AC41" i="66" s="1"/>
  <c r="AB185" i="66"/>
  <c r="AC185" i="66" s="1"/>
  <c r="AB37" i="66"/>
  <c r="AC37" i="66" s="1"/>
  <c r="AB36" i="66"/>
  <c r="AC36" i="66" s="1"/>
  <c r="P179" i="66"/>
  <c r="Q41" i="66"/>
  <c r="W41" i="66" s="1"/>
  <c r="Y41" i="66" s="1"/>
  <c r="S41" i="66"/>
  <c r="U41" i="66" s="1"/>
  <c r="O41" i="66"/>
  <c r="R26" i="66"/>
  <c r="O37" i="66"/>
  <c r="Q37" i="66"/>
  <c r="W37" i="66" s="1"/>
  <c r="Y37" i="66" s="1"/>
  <c r="S37" i="66"/>
  <c r="U37" i="66" s="1"/>
  <c r="S36" i="66"/>
  <c r="U36" i="66" s="1"/>
  <c r="Q36" i="66"/>
  <c r="W36" i="66" s="1"/>
  <c r="Y36" i="66" s="1"/>
  <c r="Z179" i="66"/>
  <c r="P35" i="66"/>
  <c r="AA35" i="66"/>
  <c r="Z35" i="66"/>
  <c r="AA179" i="66"/>
  <c r="R170" i="66"/>
  <c r="B16" i="8"/>
  <c r="S185" i="66"/>
  <c r="U185" i="66" s="1"/>
  <c r="Q185" i="66"/>
  <c r="W185" i="66" s="1"/>
  <c r="Y185" i="66" s="1"/>
  <c r="O185" i="66"/>
  <c r="AA180" i="66"/>
  <c r="M164" i="66"/>
  <c r="Q20" i="66" l="1"/>
  <c r="O20" i="66"/>
  <c r="P180" i="66"/>
  <c r="V180" i="66" s="1"/>
  <c r="S36" i="74"/>
  <c r="U36" i="74" s="1"/>
  <c r="AC36" i="74"/>
  <c r="AD36" i="74" s="1"/>
  <c r="Q36" i="74"/>
  <c r="W36" i="74" s="1"/>
  <c r="Y36" i="74" s="1"/>
  <c r="O36" i="74"/>
  <c r="M20" i="74"/>
  <c r="S20" i="74" s="1"/>
  <c r="U20" i="74" s="1"/>
  <c r="P35" i="74"/>
  <c r="AA35" i="74"/>
  <c r="Z35" i="74"/>
  <c r="AA36" i="66"/>
  <c r="Z180" i="66"/>
  <c r="P36" i="66"/>
  <c r="R36" i="66" s="1"/>
  <c r="O41" i="74"/>
  <c r="Q41" i="74"/>
  <c r="W41" i="74" s="1"/>
  <c r="Y41" i="74" s="1"/>
  <c r="S41" i="74"/>
  <c r="U41" i="74" s="1"/>
  <c r="AC41" i="74"/>
  <c r="AB20" i="66"/>
  <c r="AC20" i="66" s="1"/>
  <c r="V37" i="74"/>
  <c r="R37" i="74"/>
  <c r="AB164" i="66"/>
  <c r="AC164" i="66" s="1"/>
  <c r="R179" i="66"/>
  <c r="P185" i="66"/>
  <c r="R185" i="66" s="1"/>
  <c r="Z185" i="66"/>
  <c r="P41" i="66"/>
  <c r="AA185" i="66"/>
  <c r="Z41" i="66"/>
  <c r="AA41" i="66"/>
  <c r="S164" i="66"/>
  <c r="U164" i="66" s="1"/>
  <c r="Q164" i="66"/>
  <c r="O164" i="66"/>
  <c r="R35" i="66"/>
  <c r="P37" i="66"/>
  <c r="AA181" i="66"/>
  <c r="Z181" i="66"/>
  <c r="Z37" i="66"/>
  <c r="AA37" i="66"/>
  <c r="P181" i="66"/>
  <c r="P164" i="66" l="1"/>
  <c r="Q20" i="74"/>
  <c r="W20" i="74" s="1"/>
  <c r="Y20" i="74" s="1"/>
  <c r="AC20" i="74"/>
  <c r="AD20" i="74" s="1"/>
  <c r="O20" i="74"/>
  <c r="P20" i="74" s="1"/>
  <c r="AD41" i="74"/>
  <c r="B8" i="75" s="1"/>
  <c r="B23" i="75"/>
  <c r="V36" i="66"/>
  <c r="V35" i="74"/>
  <c r="R35" i="74"/>
  <c r="P41" i="74"/>
  <c r="AA41" i="74"/>
  <c r="Z41" i="74"/>
  <c r="R180" i="66"/>
  <c r="P36" i="74"/>
  <c r="Z36" i="74"/>
  <c r="AA36" i="74"/>
  <c r="Z20" i="74"/>
  <c r="AA20" i="74"/>
  <c r="V185" i="66"/>
  <c r="Z20" i="66"/>
  <c r="R164" i="66"/>
  <c r="R37" i="66"/>
  <c r="V37" i="66"/>
  <c r="R41" i="66"/>
  <c r="V41" i="66"/>
  <c r="AA20" i="66"/>
  <c r="V181" i="66"/>
  <c r="R181" i="66"/>
  <c r="Z164" i="66"/>
  <c r="P20" i="66"/>
  <c r="AA164" i="66"/>
  <c r="E23" i="75" l="1"/>
  <c r="B30" i="75"/>
  <c r="E8" i="75"/>
  <c r="B15" i="75"/>
  <c r="V36" i="74"/>
  <c r="R36" i="74"/>
  <c r="R41" i="74"/>
  <c r="V41" i="74"/>
  <c r="R20" i="74"/>
  <c r="V20" i="74"/>
  <c r="R20" i="66"/>
  <c r="H488" i="58" l="1"/>
  <c r="H488" i="37"/>
  <c r="H487" i="58"/>
  <c r="H487" i="37"/>
  <c r="H487" i="41" l="1"/>
  <c r="H488" i="41"/>
  <c r="J6" i="58" l="1"/>
  <c r="H6" i="58"/>
  <c r="I6" i="58"/>
  <c r="I6" i="41" l="1"/>
  <c r="D46" i="39" s="1"/>
  <c r="E108" i="38" s="1"/>
  <c r="G71" i="66"/>
  <c r="G71" i="74" s="1"/>
  <c r="G215" i="66"/>
  <c r="H6" i="41"/>
  <c r="C46" i="39" s="1"/>
  <c r="E91" i="38" s="1"/>
  <c r="G23" i="66"/>
  <c r="G23" i="74" s="1"/>
  <c r="G263" i="66"/>
  <c r="G167" i="66"/>
  <c r="J6" i="41"/>
  <c r="E46" i="39" s="1"/>
  <c r="E125" i="38" s="1"/>
  <c r="G119" i="66"/>
  <c r="G119" i="74" l="1"/>
  <c r="L46" i="39"/>
  <c r="E159" i="38" s="1"/>
  <c r="M46" i="39"/>
  <c r="E176" i="38" s="1"/>
  <c r="K46" i="39"/>
  <c r="E142" i="38" s="1"/>
  <c r="K119" i="66"/>
  <c r="J467" i="37"/>
  <c r="K23" i="66"/>
  <c r="H467" i="37"/>
  <c r="K71" i="66"/>
  <c r="I467" i="37"/>
  <c r="O71" i="66" l="1"/>
  <c r="O23" i="66"/>
  <c r="O119" i="66"/>
  <c r="K167" i="66"/>
  <c r="O167" i="66" s="1"/>
  <c r="P167" i="66" s="1"/>
  <c r="J467" i="58"/>
  <c r="J467" i="41" s="1"/>
  <c r="K215" i="66"/>
  <c r="F19" i="39" s="1"/>
  <c r="AB71" i="66"/>
  <c r="AC71" i="66" s="1"/>
  <c r="AB23" i="66"/>
  <c r="AC23" i="66" s="1"/>
  <c r="AB119" i="66"/>
  <c r="AC119" i="66" s="1"/>
  <c r="I467" i="58"/>
  <c r="I467" i="41" s="1"/>
  <c r="K263" i="66"/>
  <c r="K119" i="74" s="1"/>
  <c r="H467" i="58"/>
  <c r="H467" i="41" s="1"/>
  <c r="H482" i="37"/>
  <c r="H482" i="58"/>
  <c r="J5" i="58"/>
  <c r="H5" i="58"/>
  <c r="T23" i="66"/>
  <c r="S23" i="66"/>
  <c r="Q23" i="66"/>
  <c r="I5" i="58"/>
  <c r="Q71" i="66"/>
  <c r="T71" i="66"/>
  <c r="T119" i="66"/>
  <c r="Q119" i="66"/>
  <c r="Z167" i="66" l="1"/>
  <c r="AA167" i="66"/>
  <c r="T119" i="74"/>
  <c r="X119" i="74"/>
  <c r="Q119" i="74"/>
  <c r="P23" i="66"/>
  <c r="R23" i="66" s="1"/>
  <c r="AB167" i="66"/>
  <c r="AC167" i="66" s="1"/>
  <c r="AA23" i="66"/>
  <c r="T167" i="66"/>
  <c r="Z23" i="66"/>
  <c r="K23" i="74"/>
  <c r="S167" i="66"/>
  <c r="K71" i="74"/>
  <c r="Q167" i="66"/>
  <c r="O215" i="66"/>
  <c r="P215" i="66" s="1"/>
  <c r="R215" i="66" s="1"/>
  <c r="S215" i="66" s="1"/>
  <c r="T215" i="66"/>
  <c r="Q215" i="66"/>
  <c r="AB215" i="66"/>
  <c r="AC215" i="66" s="1"/>
  <c r="AB263" i="66"/>
  <c r="AC263" i="66" s="1"/>
  <c r="G19" i="39"/>
  <c r="T263" i="66"/>
  <c r="Q263" i="66"/>
  <c r="O263" i="66"/>
  <c r="P263" i="66" s="1"/>
  <c r="R263" i="66" s="1"/>
  <c r="S263" i="66" s="1"/>
  <c r="H482" i="41"/>
  <c r="H481" i="37"/>
  <c r="H481" i="58"/>
  <c r="J5" i="41"/>
  <c r="M52" i="39" s="1"/>
  <c r="E184" i="38" s="1"/>
  <c r="G117" i="66"/>
  <c r="E30" i="53"/>
  <c r="H483" i="37"/>
  <c r="H483" i="58"/>
  <c r="E36" i="53"/>
  <c r="G261" i="66"/>
  <c r="U23" i="66"/>
  <c r="R167" i="66"/>
  <c r="G213" i="66"/>
  <c r="E24" i="53"/>
  <c r="Z215" i="66"/>
  <c r="G69" i="66"/>
  <c r="E18" i="53"/>
  <c r="I5" i="41"/>
  <c r="L52" i="39" s="1"/>
  <c r="E167" i="38" s="1"/>
  <c r="AA71" i="66"/>
  <c r="G165" i="66"/>
  <c r="E12" i="53"/>
  <c r="E6" i="53"/>
  <c r="G21" i="66"/>
  <c r="H5" i="41"/>
  <c r="K52" i="39" s="1"/>
  <c r="E150" i="38" s="1"/>
  <c r="Z71" i="66" l="1"/>
  <c r="P71" i="66"/>
  <c r="R71" i="66" s="1"/>
  <c r="S71" i="66" s="1"/>
  <c r="U71" i="66" s="1"/>
  <c r="G69" i="74"/>
  <c r="U167" i="66"/>
  <c r="G117" i="74"/>
  <c r="U215" i="66"/>
  <c r="G21" i="74"/>
  <c r="Q71" i="74"/>
  <c r="X71" i="74"/>
  <c r="T71" i="74"/>
  <c r="S23" i="74"/>
  <c r="T23" i="74"/>
  <c r="Q23" i="74"/>
  <c r="W23" i="74" s="1"/>
  <c r="X23" i="74"/>
  <c r="O23" i="74"/>
  <c r="P23" i="74" s="1"/>
  <c r="AC23" i="74"/>
  <c r="AD23" i="74" s="1"/>
  <c r="AA215" i="66"/>
  <c r="U263" i="66"/>
  <c r="Z119" i="66"/>
  <c r="AA263" i="66"/>
  <c r="AA119" i="66"/>
  <c r="Z263" i="66"/>
  <c r="P119" i="66"/>
  <c r="R119" i="66" s="1"/>
  <c r="S119" i="66" s="1"/>
  <c r="U119" i="66" s="1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H481" i="41"/>
  <c r="D36" i="53"/>
  <c r="F36" i="53" s="1"/>
  <c r="H30" i="53" s="1"/>
  <c r="K261" i="66"/>
  <c r="J470" i="58"/>
  <c r="D24" i="53"/>
  <c r="F24" i="53" s="1"/>
  <c r="H18" i="53" s="1"/>
  <c r="K213" i="66"/>
  <c r="I470" i="58"/>
  <c r="U23" i="74" l="1"/>
  <c r="AA23" i="74"/>
  <c r="Y23" i="74"/>
  <c r="Z23" i="74"/>
  <c r="D30" i="53"/>
  <c r="F30" i="53" s="1"/>
  <c r="H36" i="53" s="1"/>
  <c r="G36" i="53" s="1"/>
  <c r="V23" i="74"/>
  <c r="R23" i="74"/>
  <c r="K69" i="66"/>
  <c r="J470" i="37"/>
  <c r="J470" i="41" s="1"/>
  <c r="K117" i="66"/>
  <c r="K117" i="74" s="1"/>
  <c r="I470" i="37"/>
  <c r="I470" i="41" s="1"/>
  <c r="D18" i="53"/>
  <c r="F18" i="53" s="1"/>
  <c r="H24" i="53" s="1"/>
  <c r="G24" i="53" s="1"/>
  <c r="T165" i="66"/>
  <c r="T213" i="66"/>
  <c r="D6" i="53"/>
  <c r="F6" i="53" s="1"/>
  <c r="K21" i="66"/>
  <c r="K21" i="74" s="1"/>
  <c r="T21" i="74" s="1"/>
  <c r="H470" i="37"/>
  <c r="H470" i="41" s="1"/>
  <c r="T261" i="66"/>
  <c r="T69" i="66" l="1"/>
  <c r="K69" i="74"/>
  <c r="X69" i="74" s="1"/>
  <c r="X21" i="74"/>
  <c r="G30" i="53"/>
  <c r="E336" i="38" s="1"/>
  <c r="X117" i="74"/>
  <c r="T117" i="74"/>
  <c r="E342" i="38"/>
  <c r="E348" i="38"/>
  <c r="E318" i="38"/>
  <c r="E324" i="38"/>
  <c r="T117" i="66"/>
  <c r="G18" i="53"/>
  <c r="T21" i="66"/>
  <c r="H12" i="53"/>
  <c r="G12" i="53" s="1"/>
  <c r="G6" i="53"/>
  <c r="E330" i="38" l="1"/>
  <c r="T69" i="74"/>
  <c r="N213" i="66"/>
  <c r="N261" i="66"/>
  <c r="E294" i="38"/>
  <c r="E300" i="38"/>
  <c r="E306" i="38"/>
  <c r="E312" i="38"/>
  <c r="E282" i="38"/>
  <c r="E288" i="38"/>
  <c r="M261" i="66"/>
  <c r="J485" i="58"/>
  <c r="M213" i="66"/>
  <c r="I485" i="58"/>
  <c r="M117" i="66"/>
  <c r="M117" i="74" s="1"/>
  <c r="J485" i="37"/>
  <c r="N117" i="66"/>
  <c r="D19" i="8"/>
  <c r="G25" i="39" l="1"/>
  <c r="N117" i="74"/>
  <c r="O117" i="74" s="1"/>
  <c r="P117" i="74" s="1"/>
  <c r="Q117" i="74"/>
  <c r="N69" i="66"/>
  <c r="N165" i="66"/>
  <c r="I485" i="37"/>
  <c r="I485" i="41" s="1"/>
  <c r="AB117" i="66"/>
  <c r="AC117" i="66" s="1"/>
  <c r="AB213" i="66"/>
  <c r="AC213" i="66" s="1"/>
  <c r="AB261" i="66"/>
  <c r="AC261" i="66" s="1"/>
  <c r="C19" i="8"/>
  <c r="M69" i="66"/>
  <c r="M69" i="74" s="1"/>
  <c r="J485" i="41"/>
  <c r="N21" i="66"/>
  <c r="B19" i="8"/>
  <c r="M21" i="66"/>
  <c r="H485" i="37"/>
  <c r="O117" i="66"/>
  <c r="Q117" i="66"/>
  <c r="Q213" i="66"/>
  <c r="O213" i="66"/>
  <c r="M165" i="66"/>
  <c r="H485" i="58"/>
  <c r="Q261" i="66"/>
  <c r="O261" i="66"/>
  <c r="N21" i="74" l="1"/>
  <c r="M21" i="74"/>
  <c r="O21" i="74" s="1"/>
  <c r="P21" i="74" s="1"/>
  <c r="F25" i="39"/>
  <c r="N69" i="74"/>
  <c r="O69" i="74" s="1"/>
  <c r="P69" i="74" s="1"/>
  <c r="AC117" i="74"/>
  <c r="AD117" i="74" s="1"/>
  <c r="Q69" i="74"/>
  <c r="Z117" i="74"/>
  <c r="AA117" i="74"/>
  <c r="AB21" i="66"/>
  <c r="AC21" i="66" s="1"/>
  <c r="AB69" i="66"/>
  <c r="AC69" i="66" s="1"/>
  <c r="AB165" i="66"/>
  <c r="AC165" i="66" s="1"/>
  <c r="Q69" i="66"/>
  <c r="O69" i="66"/>
  <c r="H485" i="41"/>
  <c r="P261" i="66"/>
  <c r="O165" i="66"/>
  <c r="Q165" i="66"/>
  <c r="S165" i="66"/>
  <c r="U165" i="66" s="1"/>
  <c r="AA117" i="66"/>
  <c r="Z117" i="66"/>
  <c r="P117" i="66"/>
  <c r="AA261" i="66"/>
  <c r="Z261" i="66"/>
  <c r="Q21" i="66"/>
  <c r="S21" i="66"/>
  <c r="U21" i="66" s="1"/>
  <c r="O21" i="66"/>
  <c r="AA21" i="74" l="1"/>
  <c r="Z21" i="74"/>
  <c r="S21" i="74"/>
  <c r="U21" i="74" s="1"/>
  <c r="Q21" i="74"/>
  <c r="W21" i="74" s="1"/>
  <c r="Y21" i="74" s="1"/>
  <c r="AC21" i="74"/>
  <c r="AD21" i="74" s="1"/>
  <c r="AC69" i="74"/>
  <c r="AD69" i="74" s="1"/>
  <c r="V117" i="74"/>
  <c r="W117" i="74"/>
  <c r="Y117" i="74" s="1"/>
  <c r="R117" i="74"/>
  <c r="S117" i="74" s="1"/>
  <c r="U117" i="74" s="1"/>
  <c r="AA69" i="74"/>
  <c r="Z69" i="74"/>
  <c r="V21" i="74"/>
  <c r="R21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R261" i="66"/>
  <c r="S261" i="66" s="1"/>
  <c r="U261" i="66" s="1"/>
  <c r="V69" i="74" l="1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V186" i="66"/>
  <c r="X42" i="66"/>
  <c r="W186" i="66"/>
  <c r="V42" i="66"/>
  <c r="W42" i="66"/>
  <c r="X17" i="66"/>
  <c r="X161" i="66"/>
  <c r="W17" i="66"/>
  <c r="W161" i="66"/>
  <c r="V161" i="66"/>
  <c r="V17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204" i="66"/>
  <c r="X156" i="66"/>
  <c r="X12" i="66"/>
  <c r="X108" i="66"/>
  <c r="X252" i="66"/>
  <c r="X60" i="66"/>
  <c r="W156" i="66"/>
  <c r="W12" i="66"/>
  <c r="V156" i="66"/>
  <c r="V12" i="66"/>
  <c r="V204" i="66"/>
  <c r="W204" i="66"/>
  <c r="W60" i="66"/>
  <c r="V60" i="66"/>
  <c r="W252" i="66"/>
  <c r="V252" i="66"/>
  <c r="V108" i="66"/>
  <c r="W108" i="66"/>
  <c r="X170" i="66"/>
  <c r="X26" i="66"/>
  <c r="W170" i="66"/>
  <c r="W26" i="66"/>
  <c r="V170" i="66"/>
  <c r="V26" i="66"/>
  <c r="X58" i="66"/>
  <c r="X106" i="66"/>
  <c r="X202" i="66"/>
  <c r="X250" i="66"/>
  <c r="X10" i="66"/>
  <c r="W10" i="66"/>
  <c r="X154" i="66"/>
  <c r="W154" i="66"/>
  <c r="V154" i="66"/>
  <c r="V10" i="66"/>
  <c r="W202" i="66"/>
  <c r="V202" i="66"/>
  <c r="W250" i="66"/>
  <c r="V250" i="66"/>
  <c r="V58" i="66"/>
  <c r="W58" i="66"/>
  <c r="V106" i="66"/>
  <c r="W106" i="66"/>
  <c r="X80" i="66"/>
  <c r="X224" i="66"/>
  <c r="X32" i="66"/>
  <c r="X272" i="66"/>
  <c r="X128" i="66"/>
  <c r="W32" i="66"/>
  <c r="X176" i="66"/>
  <c r="W176" i="66"/>
  <c r="V32" i="66"/>
  <c r="V176" i="66"/>
  <c r="W272" i="66"/>
  <c r="W128" i="66"/>
  <c r="V128" i="66"/>
  <c r="V272" i="66"/>
  <c r="W80" i="66"/>
  <c r="W224" i="66"/>
  <c r="V224" i="66"/>
  <c r="V80" i="66"/>
  <c r="X9" i="66"/>
  <c r="X105" i="66"/>
  <c r="X153" i="66"/>
  <c r="X201" i="66"/>
  <c r="X57" i="66"/>
  <c r="X249" i="66"/>
  <c r="W9" i="66"/>
  <c r="W153" i="66"/>
  <c r="V201" i="66"/>
  <c r="W57" i="66"/>
  <c r="V249" i="66"/>
  <c r="W249" i="66"/>
  <c r="V153" i="66"/>
  <c r="V57" i="66"/>
  <c r="V9" i="66"/>
  <c r="W201" i="66"/>
  <c r="V105" i="66"/>
  <c r="W105" i="66"/>
  <c r="X30" i="66"/>
  <c r="W30" i="66"/>
  <c r="X174" i="66"/>
  <c r="V30" i="66"/>
  <c r="W174" i="66"/>
  <c r="V174" i="66"/>
  <c r="X172" i="66"/>
  <c r="X124" i="66"/>
  <c r="X268" i="66"/>
  <c r="X76" i="66"/>
  <c r="X220" i="66"/>
  <c r="W172" i="66"/>
  <c r="X28" i="66"/>
  <c r="W28" i="66"/>
  <c r="V172" i="66"/>
  <c r="V28" i="66"/>
  <c r="V76" i="66"/>
  <c r="W76" i="66"/>
  <c r="W268" i="66"/>
  <c r="V268" i="66"/>
  <c r="V220" i="66"/>
  <c r="W220" i="66"/>
  <c r="W124" i="66"/>
  <c r="V124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V192" i="66"/>
  <c r="V48" i="66"/>
  <c r="W288" i="66"/>
  <c r="V144" i="66"/>
  <c r="W144" i="66"/>
  <c r="V288" i="66"/>
  <c r="W240" i="66"/>
  <c r="V96" i="66"/>
  <c r="W96" i="66"/>
  <c r="V240" i="66"/>
  <c r="X263" i="66"/>
  <c r="X23" i="66"/>
  <c r="X167" i="66"/>
  <c r="X119" i="66"/>
  <c r="X215" i="66"/>
  <c r="X71" i="66"/>
  <c r="W167" i="66"/>
  <c r="V215" i="66"/>
  <c r="V23" i="66"/>
  <c r="W23" i="66"/>
  <c r="W263" i="66"/>
  <c r="V263" i="66"/>
  <c r="V167" i="66"/>
  <c r="W215" i="66"/>
  <c r="W71" i="66"/>
  <c r="V71" i="66"/>
  <c r="V119" i="66"/>
  <c r="W119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X141" i="66"/>
  <c r="X93" i="66"/>
  <c r="X285" i="66"/>
  <c r="X237" i="66"/>
  <c r="V237" i="66"/>
  <c r="W237" i="66"/>
  <c r="V93" i="66"/>
  <c r="W93" i="66"/>
  <c r="V141" i="66"/>
  <c r="W141" i="66"/>
  <c r="W285" i="66"/>
  <c r="V285" i="66"/>
  <c r="X45" i="66"/>
  <c r="X189" i="66"/>
  <c r="W45" i="66"/>
  <c r="W189" i="66"/>
  <c r="V189" i="66"/>
  <c r="V45" i="66"/>
  <c r="X20" i="66"/>
  <c r="X164" i="66"/>
  <c r="W20" i="66"/>
  <c r="W164" i="66"/>
  <c r="V164" i="66"/>
  <c r="V20" i="66"/>
  <c r="Y238" i="66" l="1"/>
  <c r="Y201" i="66"/>
  <c r="Y288" i="66"/>
  <c r="Y124" i="66"/>
  <c r="Y69" i="66"/>
  <c r="Y285" i="66"/>
  <c r="Y237" i="66"/>
  <c r="Y286" i="66"/>
  <c r="Y105" i="66"/>
  <c r="Y106" i="66"/>
  <c r="Y108" i="66"/>
  <c r="Y232" i="66"/>
  <c r="Y161" i="66"/>
  <c r="Y32" i="66"/>
  <c r="Y261" i="66"/>
  <c r="Y23" i="66"/>
  <c r="Y197" i="66"/>
  <c r="Y30" i="66"/>
  <c r="Y40" i="66"/>
  <c r="Y256" i="66"/>
  <c r="Y128" i="66"/>
  <c r="Y279" i="66"/>
  <c r="Y28" i="66"/>
  <c r="Y119" i="66"/>
  <c r="Y121" i="66"/>
  <c r="Y53" i="66"/>
  <c r="Y272" i="66"/>
  <c r="Y231" i="66"/>
  <c r="Y48" i="66"/>
  <c r="Y154" i="66"/>
  <c r="Y10" i="66"/>
  <c r="Y215" i="66"/>
  <c r="Y76" i="66"/>
  <c r="Y249" i="66"/>
  <c r="Y117" i="66"/>
  <c r="Y57" i="66"/>
  <c r="Y153" i="66"/>
  <c r="Y160" i="66"/>
  <c r="Y20" i="66"/>
  <c r="Y217" i="66"/>
  <c r="Y172" i="66"/>
  <c r="Y88" i="66"/>
  <c r="Y39" i="66"/>
  <c r="Y94" i="66"/>
  <c r="Y141" i="66"/>
  <c r="Y265" i="66"/>
  <c r="Y220" i="66"/>
  <c r="Y174" i="66"/>
  <c r="Y58" i="66"/>
  <c r="Y26" i="66"/>
  <c r="Y184" i="66"/>
  <c r="Y93" i="66"/>
  <c r="Y176" i="66"/>
  <c r="Y35" i="66"/>
  <c r="Y136" i="66"/>
  <c r="Y135" i="66"/>
  <c r="Y169" i="66"/>
  <c r="Y5" i="66"/>
  <c r="Y204" i="66"/>
  <c r="Y183" i="66"/>
  <c r="Y17" i="66"/>
  <c r="Y42" i="66"/>
  <c r="Y263" i="66"/>
  <c r="Y96" i="66"/>
  <c r="Y202" i="66"/>
  <c r="Y170" i="66"/>
  <c r="Y87" i="66"/>
  <c r="Y189" i="66"/>
  <c r="Y224" i="66"/>
  <c r="Y112" i="66"/>
  <c r="Y45" i="66"/>
  <c r="Y165" i="66"/>
  <c r="Y149" i="66"/>
  <c r="Y80" i="66"/>
  <c r="Y245" i="66"/>
  <c r="Y71" i="66"/>
  <c r="Y252" i="66"/>
  <c r="Y46" i="66"/>
  <c r="Y73" i="66"/>
  <c r="Y208" i="66"/>
  <c r="Y213" i="66"/>
  <c r="Y190" i="66"/>
  <c r="Y192" i="66"/>
  <c r="Y268" i="66"/>
  <c r="Y250" i="66"/>
  <c r="Y60" i="66"/>
  <c r="Y179" i="66"/>
  <c r="Y280" i="66"/>
  <c r="Y64" i="66"/>
  <c r="Y186" i="66"/>
  <c r="Y164" i="66"/>
  <c r="Y142" i="66"/>
  <c r="Y240" i="66"/>
  <c r="Y16" i="66"/>
  <c r="Y25" i="66"/>
  <c r="Y101" i="66"/>
  <c r="Y12" i="66"/>
  <c r="Y21" i="66"/>
  <c r="Y167" i="66"/>
  <c r="Y144" i="66"/>
  <c r="Y9" i="66"/>
  <c r="Y156" i="66"/>
  <c r="C8" i="63" l="1"/>
  <c r="C2" i="63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99" i="74" s="1"/>
  <c r="M147" i="66"/>
  <c r="M147" i="74" s="1"/>
  <c r="Q291" i="66" l="1"/>
  <c r="W291" i="66" s="1"/>
  <c r="Y291" i="66" s="1"/>
  <c r="S291" i="66"/>
  <c r="U291" i="66" s="1"/>
  <c r="N242" i="66"/>
  <c r="N98" i="66"/>
  <c r="N98" i="74" s="1"/>
  <c r="N194" i="66"/>
  <c r="N50" i="66"/>
  <c r="N50" i="74" s="1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AB51" i="66" l="1"/>
  <c r="AC51" i="66" s="1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20" i="41" s="1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4" i="41" s="1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J187" i="58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85" i="58"/>
  <c r="J168" i="58"/>
  <c r="J169" i="58"/>
  <c r="J183" i="58"/>
  <c r="J184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30" i="41" s="1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266" i="41" s="1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3" i="41" s="1"/>
  <c r="I234" i="37"/>
  <c r="I236" i="37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2" i="41" s="1"/>
  <c r="I224" i="37"/>
  <c r="I224" i="41" s="1"/>
  <c r="I223" i="37"/>
  <c r="I223" i="41" s="1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3" i="41" s="1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257" i="41" l="1"/>
  <c r="I236" i="41"/>
  <c r="I420" i="41"/>
  <c r="I342" i="4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J186" i="58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3" i="41" s="1"/>
  <c r="J404" i="37"/>
  <c r="J409" i="18"/>
  <c r="F409" i="18"/>
  <c r="F489" i="18"/>
  <c r="J489" i="18"/>
  <c r="I356" i="41"/>
  <c r="H125" i="18"/>
  <c r="I125" i="18"/>
  <c r="J185" i="37"/>
  <c r="J183" i="37"/>
  <c r="J183" i="41" s="1"/>
  <c r="J168" i="37"/>
  <c r="J169" i="37"/>
  <c r="J169" i="41" s="1"/>
  <c r="J170" i="37"/>
  <c r="J170" i="41" s="1"/>
  <c r="J184" i="37"/>
  <c r="J184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D76" i="57" s="1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88" i="58"/>
  <c r="C54" i="63" s="1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D78" i="57" s="1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86" i="37"/>
  <c r="J188" i="37"/>
  <c r="J187" i="37"/>
  <c r="J187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J197" i="58"/>
  <c r="J353" i="58"/>
  <c r="G254" i="66" s="1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4" i="17"/>
  <c r="D28" i="17" s="1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3" i="41" s="1"/>
  <c r="J214" i="37"/>
  <c r="J214" i="41" s="1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3" i="41" s="1"/>
  <c r="J224" i="37"/>
  <c r="J224" i="41" s="1"/>
  <c r="J222" i="37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0" i="41" s="1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5" i="37"/>
  <c r="J275" i="41" s="1"/>
  <c r="J274" i="37"/>
  <c r="J274" i="41" s="1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G265" i="66" l="1"/>
  <c r="O265" i="66" s="1"/>
  <c r="J273" i="41"/>
  <c r="J301" i="41"/>
  <c r="G255" i="66"/>
  <c r="O255" i="66" s="1"/>
  <c r="J222" i="41"/>
  <c r="J420" i="41"/>
  <c r="G257" i="66"/>
  <c r="J404" i="41"/>
  <c r="AB254" i="66"/>
  <c r="AC254" i="66" s="1"/>
  <c r="O254" i="66"/>
  <c r="G264" i="66"/>
  <c r="J302" i="41"/>
  <c r="G270" i="66"/>
  <c r="D69" i="57"/>
  <c r="J341" i="41"/>
  <c r="J188" i="41"/>
  <c r="D68" i="57"/>
  <c r="J215" i="41"/>
  <c r="J318" i="41"/>
  <c r="J342" i="41"/>
  <c r="D74" i="57"/>
  <c r="J311" i="41"/>
  <c r="J386" i="41"/>
  <c r="J385" i="41"/>
  <c r="J180" i="41"/>
  <c r="G282" i="66"/>
  <c r="G275" i="66"/>
  <c r="J206" i="41"/>
  <c r="G245" i="66"/>
  <c r="J395" i="41"/>
  <c r="O3" i="58"/>
  <c r="G274" i="66"/>
  <c r="J300" i="41"/>
  <c r="J393" i="41"/>
  <c r="J245" i="41"/>
  <c r="J248" i="41"/>
  <c r="J402" i="41"/>
  <c r="D73" i="57"/>
  <c r="J343" i="41"/>
  <c r="J247" i="41"/>
  <c r="J186" i="41"/>
  <c r="J422" i="41"/>
  <c r="J394" i="41"/>
  <c r="D71" i="57"/>
  <c r="D70" i="57"/>
  <c r="J356" i="41"/>
  <c r="J264" i="41"/>
  <c r="J319" i="41"/>
  <c r="J246" i="41"/>
  <c r="J181" i="41"/>
  <c r="J182" i="41"/>
  <c r="G260" i="66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G259" i="66"/>
  <c r="G113" i="66"/>
  <c r="J210" i="41"/>
  <c r="D31" i="57"/>
  <c r="F242" i="18"/>
  <c r="J242" i="18"/>
  <c r="J494" i="5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D79" i="57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E34" i="53"/>
  <c r="F34" i="53" s="1"/>
  <c r="G130" i="66"/>
  <c r="G130" i="74" s="1"/>
  <c r="J288" i="41"/>
  <c r="D37" i="57"/>
  <c r="J161" i="41"/>
  <c r="G120" i="66"/>
  <c r="J372" i="41"/>
  <c r="D39" i="57"/>
  <c r="H356" i="18"/>
  <c r="I356" i="18"/>
  <c r="I100" i="18"/>
  <c r="H100" i="18"/>
  <c r="I107" i="18"/>
  <c r="H107" i="18"/>
  <c r="I373" i="37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G138" i="66"/>
  <c r="J252" i="41"/>
  <c r="O3" i="37"/>
  <c r="D34" i="57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G135" i="66"/>
  <c r="J494" i="37"/>
  <c r="J493" i="37"/>
  <c r="J325" i="41"/>
  <c r="D30" i="57"/>
  <c r="E394" i="38"/>
  <c r="G115" i="66"/>
  <c r="G115" i="74" s="1"/>
  <c r="J168" i="41"/>
  <c r="D32" i="57"/>
  <c r="D72" i="57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G126" i="66"/>
  <c r="D35" i="57"/>
  <c r="J306" i="41"/>
  <c r="J148" i="41"/>
  <c r="C25" i="63"/>
  <c r="I179" i="37"/>
  <c r="I188" i="37"/>
  <c r="I187" i="37"/>
  <c r="I177" i="37"/>
  <c r="I186" i="37"/>
  <c r="I178" i="37"/>
  <c r="I160" i="37"/>
  <c r="I157" i="37"/>
  <c r="I158" i="37"/>
  <c r="I159" i="37"/>
  <c r="J453" i="18"/>
  <c r="F453" i="18"/>
  <c r="J462" i="18"/>
  <c r="F462" i="18"/>
  <c r="E32" i="53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85" i="37"/>
  <c r="I169" i="37"/>
  <c r="I183" i="37"/>
  <c r="I170" i="37"/>
  <c r="I168" i="37"/>
  <c r="I184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D77" i="57"/>
  <c r="J195" i="41"/>
  <c r="J205" i="41"/>
  <c r="D75" i="57"/>
  <c r="F160" i="18"/>
  <c r="J160" i="18"/>
  <c r="J256" i="41"/>
  <c r="J185" i="41"/>
  <c r="O7" i="41" s="1"/>
  <c r="C24" i="63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G122" i="66"/>
  <c r="D28" i="57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1" i="41" s="1"/>
  <c r="I272" i="37"/>
  <c r="H400" i="18"/>
  <c r="I400" i="18"/>
  <c r="I261" i="58"/>
  <c r="I262" i="58"/>
  <c r="I263" i="58"/>
  <c r="I316" i="58"/>
  <c r="I317" i="58"/>
  <c r="I315" i="58"/>
  <c r="G111" i="66"/>
  <c r="G111" i="74" s="1"/>
  <c r="J270" i="41"/>
  <c r="D36" i="57"/>
  <c r="J282" i="41"/>
  <c r="J463" i="18"/>
  <c r="F463" i="18"/>
  <c r="F114" i="18"/>
  <c r="J114" i="18"/>
  <c r="E26" i="53"/>
  <c r="G116" i="66"/>
  <c r="G116" i="74" s="1"/>
  <c r="J146" i="41"/>
  <c r="I150" i="18"/>
  <c r="H150" i="18"/>
  <c r="I221" i="37"/>
  <c r="I219" i="37"/>
  <c r="I220" i="37"/>
  <c r="F158" i="18"/>
  <c r="J158" i="18"/>
  <c r="J192" i="41"/>
  <c r="D33" i="57"/>
  <c r="G121" i="66"/>
  <c r="G121" i="74" s="1"/>
  <c r="D67" i="57"/>
  <c r="J171" i="41"/>
  <c r="J119" i="18"/>
  <c r="F119" i="18"/>
  <c r="J292" i="41"/>
  <c r="F127" i="18"/>
  <c r="J127" i="18"/>
  <c r="J493" i="58"/>
  <c r="J375" i="41"/>
  <c r="J368" i="41"/>
  <c r="G101" i="66"/>
  <c r="G101" i="74" s="1"/>
  <c r="AC101" i="74" s="1"/>
  <c r="D29" i="57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G266" i="66"/>
  <c r="J172" i="41"/>
  <c r="F504" i="18"/>
  <c r="J504" i="18"/>
  <c r="F206" i="18"/>
  <c r="J206" i="18"/>
  <c r="F500" i="18"/>
  <c r="J500" i="18"/>
  <c r="J293" i="41"/>
  <c r="E397" i="38"/>
  <c r="J234" i="41"/>
  <c r="J366" i="41"/>
  <c r="F209" i="18"/>
  <c r="J209" i="18"/>
  <c r="J455" i="18"/>
  <c r="F455" i="18"/>
  <c r="F126" i="18"/>
  <c r="J126" i="18"/>
  <c r="I362" i="18"/>
  <c r="H362" i="18"/>
  <c r="I168" i="58"/>
  <c r="I185" i="58"/>
  <c r="I170" i="58"/>
  <c r="I183" i="58"/>
  <c r="I169" i="58"/>
  <c r="I184" i="58"/>
  <c r="I328" i="58"/>
  <c r="I326" i="58"/>
  <c r="I325" i="58"/>
  <c r="I327" i="58"/>
  <c r="G110" i="66"/>
  <c r="G110" i="74" s="1"/>
  <c r="O110" i="74" s="1"/>
  <c r="D38" i="57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3" i="41" s="1"/>
  <c r="I194" i="37"/>
  <c r="I383" i="58"/>
  <c r="I381" i="58"/>
  <c r="I382" i="58"/>
  <c r="I188" i="58"/>
  <c r="I186" i="58"/>
  <c r="I179" i="58"/>
  <c r="I177" i="58"/>
  <c r="I187" i="58"/>
  <c r="I178" i="58"/>
  <c r="J353" i="41"/>
  <c r="J265" i="41"/>
  <c r="H145" i="18"/>
  <c r="I145" i="18"/>
  <c r="I362" i="37"/>
  <c r="I363" i="37"/>
  <c r="I361" i="37"/>
  <c r="I364" i="37"/>
  <c r="I364" i="41" s="1"/>
  <c r="F161" i="18"/>
  <c r="J161" i="18"/>
  <c r="F204" i="18"/>
  <c r="J204" i="18"/>
  <c r="J246" i="18"/>
  <c r="F246" i="18"/>
  <c r="F503" i="18"/>
  <c r="J503" i="18"/>
  <c r="G279" i="66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37" i="41" s="1"/>
  <c r="I340" i="37"/>
  <c r="I339" i="37"/>
  <c r="I339" i="41" s="1"/>
  <c r="I338" i="37"/>
  <c r="F164" i="18"/>
  <c r="J164" i="18"/>
  <c r="F124" i="18"/>
  <c r="J124" i="18"/>
  <c r="G131" i="66"/>
  <c r="G131" i="74" s="1"/>
  <c r="D40" i="57"/>
  <c r="E28" i="53"/>
  <c r="F28" i="53" s="1"/>
  <c r="J390" i="41"/>
  <c r="J452" i="18"/>
  <c r="F452" i="18"/>
  <c r="J163" i="18"/>
  <c r="F163" i="18"/>
  <c r="J210" i="18"/>
  <c r="F210" i="18"/>
  <c r="J236" i="41"/>
  <c r="J367" i="41"/>
  <c r="G113" i="74" l="1"/>
  <c r="AB255" i="66"/>
  <c r="AC255" i="66" s="1"/>
  <c r="I194" i="41"/>
  <c r="I338" i="41"/>
  <c r="AB265" i="66"/>
  <c r="AC265" i="66" s="1"/>
  <c r="M50" i="39"/>
  <c r="E182" i="38" s="1"/>
  <c r="I373" i="41"/>
  <c r="G122" i="74"/>
  <c r="G126" i="74"/>
  <c r="I254" i="41"/>
  <c r="AD101" i="74"/>
  <c r="C4" i="75" s="1"/>
  <c r="C19" i="75"/>
  <c r="I362" i="41"/>
  <c r="G138" i="74"/>
  <c r="G135" i="74"/>
  <c r="O101" i="74"/>
  <c r="G120" i="74"/>
  <c r="AC120" i="74" s="1"/>
  <c r="AD120" i="74" s="1"/>
  <c r="AC110" i="74"/>
  <c r="AD110" i="74" s="1"/>
  <c r="N135" i="66"/>
  <c r="O130" i="74"/>
  <c r="AC130" i="74"/>
  <c r="N279" i="66"/>
  <c r="O279" i="66" s="1"/>
  <c r="G280" i="66"/>
  <c r="O280" i="66" s="1"/>
  <c r="O111" i="74"/>
  <c r="AC111" i="74"/>
  <c r="O115" i="74"/>
  <c r="AC115" i="74"/>
  <c r="O121" i="74"/>
  <c r="AC121" i="74"/>
  <c r="AB121" i="66"/>
  <c r="AC121" i="66" s="1"/>
  <c r="AB130" i="66"/>
  <c r="AC130" i="66" s="1"/>
  <c r="AB264" i="66"/>
  <c r="AC264" i="66" s="1"/>
  <c r="AB259" i="66"/>
  <c r="AC259" i="66" s="1"/>
  <c r="AB274" i="66"/>
  <c r="AC274" i="66" s="1"/>
  <c r="AB101" i="66"/>
  <c r="AC101" i="66" s="1"/>
  <c r="AB110" i="66"/>
  <c r="AC110" i="66" s="1"/>
  <c r="AB245" i="66"/>
  <c r="AC245" i="66" s="1"/>
  <c r="AB111" i="66"/>
  <c r="AC111" i="66" s="1"/>
  <c r="AB115" i="66"/>
  <c r="AC115" i="66" s="1"/>
  <c r="AB120" i="66"/>
  <c r="AC120" i="66" s="1"/>
  <c r="I400" i="41"/>
  <c r="I361" i="41"/>
  <c r="O115" i="66"/>
  <c r="O120" i="66"/>
  <c r="O130" i="66"/>
  <c r="Z274" i="66" s="1"/>
  <c r="O264" i="66"/>
  <c r="O111" i="66"/>
  <c r="AA255" i="66" s="1"/>
  <c r="O121" i="66"/>
  <c r="AA265" i="66" s="1"/>
  <c r="O101" i="66"/>
  <c r="O274" i="66"/>
  <c r="O259" i="66"/>
  <c r="O110" i="66"/>
  <c r="AA110" i="66" s="1"/>
  <c r="O245" i="66"/>
  <c r="I363" i="41"/>
  <c r="I399" i="41"/>
  <c r="E48" i="39"/>
  <c r="E129" i="38" s="1"/>
  <c r="M49" i="39"/>
  <c r="E181" i="38" s="1"/>
  <c r="E49" i="39"/>
  <c r="E130" i="38" s="1"/>
  <c r="I401" i="41"/>
  <c r="I157" i="41"/>
  <c r="I253" i="41"/>
  <c r="I160" i="41"/>
  <c r="C44" i="63"/>
  <c r="E400" i="38"/>
  <c r="J495" i="37" s="1"/>
  <c r="I340" i="41"/>
  <c r="E50" i="39"/>
  <c r="E131" i="38" s="1"/>
  <c r="I374" i="41"/>
  <c r="I272" i="41"/>
  <c r="M51" i="39"/>
  <c r="E183" i="38" s="1"/>
  <c r="J465" i="58" s="1"/>
  <c r="E403" i="38"/>
  <c r="J497" i="58" s="1"/>
  <c r="M48" i="39"/>
  <c r="E180" i="38" s="1"/>
  <c r="I391" i="41"/>
  <c r="I211" i="41"/>
  <c r="I158" i="41"/>
  <c r="I289" i="41"/>
  <c r="I297" i="41"/>
  <c r="I290" i="41"/>
  <c r="I298" i="41"/>
  <c r="I392" i="41"/>
  <c r="I418" i="41"/>
  <c r="I279" i="41"/>
  <c r="G90" i="66"/>
  <c r="N3" i="37"/>
  <c r="D21" i="57"/>
  <c r="I252" i="41"/>
  <c r="G197" i="66"/>
  <c r="D55" i="57"/>
  <c r="I352" i="41"/>
  <c r="I230" i="41"/>
  <c r="J359" i="18"/>
  <c r="F359" i="18"/>
  <c r="I317" i="41"/>
  <c r="I183" i="41"/>
  <c r="J464" i="58"/>
  <c r="K270" i="66"/>
  <c r="AB270" i="66" s="1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M47" i="39"/>
  <c r="E51" i="39"/>
  <c r="E132" i="38" s="1"/>
  <c r="J105" i="18"/>
  <c r="F105" i="18"/>
  <c r="H34" i="53"/>
  <c r="G34" i="53" s="1"/>
  <c r="I281" i="41"/>
  <c r="I220" i="41"/>
  <c r="F400" i="18"/>
  <c r="J400" i="18"/>
  <c r="F352" i="18"/>
  <c r="J352" i="18"/>
  <c r="I299" i="41"/>
  <c r="F102" i="18"/>
  <c r="J102" i="18"/>
  <c r="I382" i="41"/>
  <c r="I185" i="41"/>
  <c r="C14" i="63"/>
  <c r="G82" i="66"/>
  <c r="D24" i="57"/>
  <c r="I288" i="41"/>
  <c r="F361" i="18"/>
  <c r="J361" i="18"/>
  <c r="I243" i="41"/>
  <c r="G207" i="66"/>
  <c r="D62" i="57"/>
  <c r="D64" i="57"/>
  <c r="G206" i="66"/>
  <c r="I219" i="41"/>
  <c r="F154" i="18"/>
  <c r="J154" i="18"/>
  <c r="F395" i="18"/>
  <c r="J395" i="18"/>
  <c r="I383" i="41"/>
  <c r="J112" i="18"/>
  <c r="F112" i="18"/>
  <c r="I178" i="41"/>
  <c r="G234" i="66"/>
  <c r="D60" i="57"/>
  <c r="N3" i="58"/>
  <c r="I262" i="41"/>
  <c r="G217" i="66"/>
  <c r="D59" i="57"/>
  <c r="I241" i="41"/>
  <c r="I408" i="41"/>
  <c r="D58" i="57"/>
  <c r="G211" i="66"/>
  <c r="F355" i="18"/>
  <c r="J355" i="18"/>
  <c r="I280" i="41"/>
  <c r="J401" i="18"/>
  <c r="F401" i="18"/>
  <c r="G218" i="66"/>
  <c r="D54" i="57"/>
  <c r="F148" i="18"/>
  <c r="J148" i="18"/>
  <c r="O9" i="41"/>
  <c r="I221" i="41"/>
  <c r="F358" i="18"/>
  <c r="J358" i="18"/>
  <c r="I381" i="41"/>
  <c r="F402" i="18"/>
  <c r="J402" i="18"/>
  <c r="I186" i="41"/>
  <c r="I261" i="41"/>
  <c r="F405" i="18"/>
  <c r="J405" i="18"/>
  <c r="J407" i="18"/>
  <c r="F407" i="18"/>
  <c r="I244" i="41"/>
  <c r="I410" i="41"/>
  <c r="J354" i="18"/>
  <c r="F354" i="18"/>
  <c r="G216" i="66"/>
  <c r="D65" i="57"/>
  <c r="G73" i="66"/>
  <c r="D20" i="57"/>
  <c r="I192" i="41"/>
  <c r="Z110" i="66"/>
  <c r="AA254" i="66"/>
  <c r="F362" i="18"/>
  <c r="J362" i="18"/>
  <c r="F110" i="18"/>
  <c r="J110" i="18"/>
  <c r="I494" i="58"/>
  <c r="I493" i="58"/>
  <c r="G231" i="66"/>
  <c r="D56" i="57"/>
  <c r="E396" i="3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G63" i="66"/>
  <c r="D23" i="57"/>
  <c r="I270" i="41"/>
  <c r="G65" i="66"/>
  <c r="D18" i="57"/>
  <c r="I210" i="41"/>
  <c r="D63" i="57"/>
  <c r="G226" i="66"/>
  <c r="G227" i="66"/>
  <c r="E22" i="53"/>
  <c r="F22" i="53" s="1"/>
  <c r="D66" i="57"/>
  <c r="I187" i="41"/>
  <c r="F113" i="18"/>
  <c r="J113" i="18"/>
  <c r="G136" i="66"/>
  <c r="J493" i="41"/>
  <c r="G72" i="66"/>
  <c r="G72" i="74" s="1"/>
  <c r="D26" i="57"/>
  <c r="I372" i="41"/>
  <c r="I419" i="41"/>
  <c r="I147" i="41"/>
  <c r="J398" i="18"/>
  <c r="F398" i="18"/>
  <c r="J149" i="18"/>
  <c r="F149" i="18"/>
  <c r="F104" i="18"/>
  <c r="J104" i="18"/>
  <c r="G281" i="66"/>
  <c r="E33" i="53"/>
  <c r="F33" i="53" s="1"/>
  <c r="E20" i="53"/>
  <c r="G212" i="66"/>
  <c r="J144" i="18"/>
  <c r="F144" i="18"/>
  <c r="J396" i="18"/>
  <c r="F396" i="18"/>
  <c r="G222" i="66"/>
  <c r="D61" i="57"/>
  <c r="I212" i="41"/>
  <c r="G83" i="66"/>
  <c r="E16" i="53"/>
  <c r="F16" i="53" s="1"/>
  <c r="D27" i="57"/>
  <c r="I390" i="41"/>
  <c r="J364" i="18"/>
  <c r="F364" i="18"/>
  <c r="I188" i="41"/>
  <c r="F101" i="18"/>
  <c r="J101" i="18"/>
  <c r="G137" i="66"/>
  <c r="J494" i="41"/>
  <c r="E27" i="53"/>
  <c r="F27" i="53" s="1"/>
  <c r="F147" i="18"/>
  <c r="J147" i="18"/>
  <c r="I417" i="41"/>
  <c r="G68" i="66"/>
  <c r="E14" i="53"/>
  <c r="I146" i="41"/>
  <c r="E47" i="39"/>
  <c r="F106" i="18"/>
  <c r="J106" i="18"/>
  <c r="J365" i="18"/>
  <c r="F365" i="18"/>
  <c r="I179" i="41"/>
  <c r="AA130" i="66"/>
  <c r="Z130" i="66"/>
  <c r="AA274" i="66"/>
  <c r="G74" i="66"/>
  <c r="D15" i="57"/>
  <c r="I145" i="41"/>
  <c r="F155" i="18"/>
  <c r="J155" i="18"/>
  <c r="I326" i="41"/>
  <c r="I203" i="41"/>
  <c r="F404" i="18"/>
  <c r="J404" i="18"/>
  <c r="G62" i="66"/>
  <c r="G62" i="74" s="1"/>
  <c r="I349" i="41"/>
  <c r="D25" i="57"/>
  <c r="I231" i="41"/>
  <c r="F357" i="18"/>
  <c r="J357" i="18"/>
  <c r="I184" i="41"/>
  <c r="F146" i="18"/>
  <c r="J146" i="18"/>
  <c r="J107" i="18"/>
  <c r="F107" i="18"/>
  <c r="H28" i="53"/>
  <c r="G28" i="53" s="1"/>
  <c r="I148" i="41"/>
  <c r="C15" i="63"/>
  <c r="I493" i="37"/>
  <c r="G87" i="66"/>
  <c r="G87" i="74" s="1"/>
  <c r="I494" i="37"/>
  <c r="I325" i="41"/>
  <c r="E393" i="38"/>
  <c r="D17" i="57"/>
  <c r="I202" i="41"/>
  <c r="I307" i="41"/>
  <c r="J145" i="18"/>
  <c r="F145" i="18"/>
  <c r="I351" i="41"/>
  <c r="G209" i="66"/>
  <c r="D57" i="57"/>
  <c r="G53" i="66"/>
  <c r="G53" i="74" s="1"/>
  <c r="AC53" i="74" s="1"/>
  <c r="AD53" i="74" s="1"/>
  <c r="I229" i="41"/>
  <c r="D16" i="57"/>
  <c r="F353" i="18"/>
  <c r="J353" i="18"/>
  <c r="G67" i="66"/>
  <c r="D19" i="57"/>
  <c r="I168" i="41"/>
  <c r="F406" i="18"/>
  <c r="J406" i="18"/>
  <c r="J143" i="18"/>
  <c r="F143" i="18"/>
  <c r="J109" i="18"/>
  <c r="F109" i="18"/>
  <c r="I327" i="41"/>
  <c r="I201" i="41"/>
  <c r="G78" i="66"/>
  <c r="I306" i="41"/>
  <c r="L50" i="39" s="1"/>
  <c r="E165" i="38" s="1"/>
  <c r="D22" i="57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Z115" i="66" l="1"/>
  <c r="AA101" i="66"/>
  <c r="N135" i="74"/>
  <c r="G136" i="74"/>
  <c r="O136" i="74" s="1"/>
  <c r="Z255" i="66"/>
  <c r="AA111" i="66"/>
  <c r="Z111" i="66"/>
  <c r="L48" i="39"/>
  <c r="J5" i="6"/>
  <c r="G78" i="74"/>
  <c r="G63" i="74"/>
  <c r="AC63" i="74" s="1"/>
  <c r="AD63" i="74" s="1"/>
  <c r="O135" i="66"/>
  <c r="AA135" i="66" s="1"/>
  <c r="G67" i="74"/>
  <c r="O67" i="74" s="1"/>
  <c r="AD130" i="74"/>
  <c r="C13" i="75" s="1"/>
  <c r="C28" i="75"/>
  <c r="AD121" i="74"/>
  <c r="C9" i="75" s="1"/>
  <c r="C24" i="75"/>
  <c r="AD115" i="74"/>
  <c r="C7" i="75" s="1"/>
  <c r="C22" i="75"/>
  <c r="AD111" i="74"/>
  <c r="C6" i="75" s="1"/>
  <c r="C21" i="75"/>
  <c r="G83" i="74"/>
  <c r="AB135" i="66"/>
  <c r="AC135" i="66" s="1"/>
  <c r="O120" i="74"/>
  <c r="G82" i="74"/>
  <c r="AC82" i="74" s="1"/>
  <c r="AD82" i="74" s="1"/>
  <c r="G90" i="74"/>
  <c r="G73" i="74"/>
  <c r="AB280" i="66"/>
  <c r="AC280" i="66" s="1"/>
  <c r="G65" i="74"/>
  <c r="O53" i="74"/>
  <c r="AA53" i="74" s="1"/>
  <c r="G137" i="74"/>
  <c r="Z121" i="66"/>
  <c r="AB279" i="66"/>
  <c r="AC279" i="66" s="1"/>
  <c r="Z265" i="66"/>
  <c r="G74" i="74"/>
  <c r="G68" i="74"/>
  <c r="N231" i="66"/>
  <c r="AB231" i="66" s="1"/>
  <c r="AC231" i="66" s="1"/>
  <c r="K282" i="66"/>
  <c r="Q282" i="66" s="1"/>
  <c r="N87" i="66"/>
  <c r="K113" i="66"/>
  <c r="J457" i="58"/>
  <c r="G232" i="66"/>
  <c r="AB232" i="66" s="1"/>
  <c r="AC232" i="66" s="1"/>
  <c r="K126" i="66"/>
  <c r="K126" i="74" s="1"/>
  <c r="AA136" i="74"/>
  <c r="AC62" i="74"/>
  <c r="AD62" i="74" s="1"/>
  <c r="O62" i="74"/>
  <c r="AC72" i="74"/>
  <c r="AD72" i="74" s="1"/>
  <c r="O72" i="74"/>
  <c r="AA121" i="66"/>
  <c r="Z259" i="66"/>
  <c r="Z254" i="66"/>
  <c r="Z245" i="66"/>
  <c r="G23" i="39"/>
  <c r="AB136" i="66"/>
  <c r="AC136" i="66" s="1"/>
  <c r="AB216" i="66"/>
  <c r="AC216" i="66" s="1"/>
  <c r="AB206" i="66"/>
  <c r="AC206" i="66" s="1"/>
  <c r="J464" i="37"/>
  <c r="J464" i="41" s="1"/>
  <c r="AB63" i="66"/>
  <c r="AC63" i="66" s="1"/>
  <c r="Z120" i="66"/>
  <c r="AB53" i="66"/>
  <c r="AC53" i="66" s="1"/>
  <c r="AB62" i="66"/>
  <c r="AC62" i="66" s="1"/>
  <c r="AB211" i="66"/>
  <c r="AC211" i="66" s="1"/>
  <c r="AB207" i="66"/>
  <c r="AC207" i="66" s="1"/>
  <c r="AA245" i="66"/>
  <c r="Z101" i="66"/>
  <c r="AB197" i="66"/>
  <c r="AC197" i="66" s="1"/>
  <c r="AB226" i="66"/>
  <c r="AC226" i="66" s="1"/>
  <c r="AB217" i="66"/>
  <c r="AC217" i="66" s="1"/>
  <c r="AB67" i="66"/>
  <c r="AC67" i="66" s="1"/>
  <c r="AC270" i="66"/>
  <c r="AB72" i="66"/>
  <c r="AC72" i="66" s="1"/>
  <c r="AB73" i="66"/>
  <c r="AC73" i="66" s="1"/>
  <c r="AB82" i="66"/>
  <c r="AC82" i="66" s="1"/>
  <c r="J495" i="58"/>
  <c r="J495" i="41" s="1"/>
  <c r="F17" i="8"/>
  <c r="AA115" i="66"/>
  <c r="AA259" i="66"/>
  <c r="O53" i="66"/>
  <c r="AA197" i="66" s="1"/>
  <c r="O63" i="66"/>
  <c r="O197" i="66"/>
  <c r="O206" i="66"/>
  <c r="O82" i="66"/>
  <c r="O226" i="66"/>
  <c r="Z264" i="66"/>
  <c r="O211" i="66"/>
  <c r="O207" i="66"/>
  <c r="O67" i="66"/>
  <c r="AA264" i="66"/>
  <c r="O72" i="66"/>
  <c r="AA120" i="66"/>
  <c r="O73" i="66"/>
  <c r="O62" i="66"/>
  <c r="O136" i="66"/>
  <c r="AA280" i="66" s="1"/>
  <c r="O216" i="66"/>
  <c r="O217" i="66"/>
  <c r="K257" i="66"/>
  <c r="J496" i="58"/>
  <c r="G277" i="66" s="1"/>
  <c r="J457" i="37"/>
  <c r="L49" i="39"/>
  <c r="E164" i="38" s="1"/>
  <c r="I457" i="58" s="1"/>
  <c r="J497" i="37"/>
  <c r="G132" i="66" s="1"/>
  <c r="J496" i="37"/>
  <c r="G133" i="66" s="1"/>
  <c r="D50" i="39"/>
  <c r="E114" i="38" s="1"/>
  <c r="D51" i="39"/>
  <c r="E115" i="38" s="1"/>
  <c r="D49" i="39"/>
  <c r="E113" i="38" s="1"/>
  <c r="L47" i="39"/>
  <c r="E162" i="38" s="1"/>
  <c r="E402" i="38"/>
  <c r="I496" i="58" s="1"/>
  <c r="L51" i="39"/>
  <c r="E166" i="38" s="1"/>
  <c r="E163" i="38"/>
  <c r="E328" i="38"/>
  <c r="E334" i="38"/>
  <c r="I464" i="58"/>
  <c r="K222" i="66"/>
  <c r="G89" i="66"/>
  <c r="E15" i="53"/>
  <c r="F15" i="53" s="1"/>
  <c r="I494" i="41"/>
  <c r="D47" i="39"/>
  <c r="E399" i="38"/>
  <c r="J465" i="37"/>
  <c r="J465" i="41" s="1"/>
  <c r="K138" i="66"/>
  <c r="N8" i="41"/>
  <c r="H27" i="53"/>
  <c r="G27" i="53" s="1"/>
  <c r="E179" i="38"/>
  <c r="E346" i="38"/>
  <c r="E340" i="38"/>
  <c r="K266" i="66"/>
  <c r="J456" i="58"/>
  <c r="D48" i="39"/>
  <c r="H22" i="53"/>
  <c r="G22" i="53" s="1"/>
  <c r="X126" i="66"/>
  <c r="Q126" i="66"/>
  <c r="T126" i="66"/>
  <c r="H33" i="53"/>
  <c r="G33" i="53" s="1"/>
  <c r="Z217" i="66"/>
  <c r="O126" i="66"/>
  <c r="G233" i="66"/>
  <c r="E21" i="53"/>
  <c r="F21" i="53" s="1"/>
  <c r="C31" i="63"/>
  <c r="E128" i="38"/>
  <c r="N7" i="41"/>
  <c r="N9" i="41"/>
  <c r="K122" i="66"/>
  <c r="J456" i="37"/>
  <c r="G88" i="66"/>
  <c r="G88" i="74" s="1"/>
  <c r="O88" i="74" s="1"/>
  <c r="I493" i="41"/>
  <c r="H16" i="53"/>
  <c r="G16" i="53" s="1"/>
  <c r="X270" i="66"/>
  <c r="T270" i="66"/>
  <c r="Q270" i="66"/>
  <c r="O270" i="66"/>
  <c r="G276" i="66"/>
  <c r="E414" i="38"/>
  <c r="O231" i="66" l="1"/>
  <c r="K122" i="74"/>
  <c r="X122" i="74" s="1"/>
  <c r="N87" i="74"/>
  <c r="AC87" i="74" s="1"/>
  <c r="AD87" i="74" s="1"/>
  <c r="Z279" i="66"/>
  <c r="AC136" i="74"/>
  <c r="AD136" i="74" s="1"/>
  <c r="I5" i="6"/>
  <c r="E409" i="38"/>
  <c r="Z135" i="66"/>
  <c r="AA279" i="66"/>
  <c r="AC67" i="74"/>
  <c r="AD67" i="74" s="1"/>
  <c r="O87" i="66"/>
  <c r="O63" i="74"/>
  <c r="Z62" i="66"/>
  <c r="AA62" i="66"/>
  <c r="Z136" i="66"/>
  <c r="T282" i="66"/>
  <c r="K138" i="74"/>
  <c r="Q138" i="74" s="1"/>
  <c r="X282" i="66"/>
  <c r="Z73" i="66"/>
  <c r="AB282" i="66"/>
  <c r="AC282" i="66" s="1"/>
  <c r="O282" i="66"/>
  <c r="K113" i="74"/>
  <c r="AC113" i="74" s="1"/>
  <c r="AD113" i="74" s="1"/>
  <c r="J457" i="41"/>
  <c r="Z206" i="66"/>
  <c r="E408" i="38"/>
  <c r="J497" i="41"/>
  <c r="O232" i="66"/>
  <c r="O82" i="74"/>
  <c r="Z53" i="74"/>
  <c r="O87" i="74"/>
  <c r="J496" i="41"/>
  <c r="G89" i="74"/>
  <c r="AC88" i="74"/>
  <c r="AD88" i="74" s="1"/>
  <c r="AB87" i="66"/>
  <c r="AC87" i="66" s="1"/>
  <c r="G132" i="74"/>
  <c r="G22" i="39"/>
  <c r="AB126" i="66"/>
  <c r="AC126" i="66" s="1"/>
  <c r="O122" i="74"/>
  <c r="P122" i="74" s="1"/>
  <c r="T122" i="74"/>
  <c r="AC122" i="74"/>
  <c r="G133" i="74"/>
  <c r="T113" i="66"/>
  <c r="AA216" i="66"/>
  <c r="Q113" i="66"/>
  <c r="C61" i="63"/>
  <c r="X113" i="66"/>
  <c r="AB113" i="66"/>
  <c r="AC113" i="66" s="1"/>
  <c r="AC138" i="74"/>
  <c r="AA217" i="66"/>
  <c r="O73" i="74"/>
  <c r="AC73" i="74"/>
  <c r="AD73" i="74" s="1"/>
  <c r="E415" i="38"/>
  <c r="O113" i="66"/>
  <c r="I465" i="37"/>
  <c r="Z67" i="74"/>
  <c r="AA67" i="74"/>
  <c r="I464" i="37"/>
  <c r="I464" i="41" s="1"/>
  <c r="AA53" i="66"/>
  <c r="K209" i="66"/>
  <c r="AB209" i="66" s="1"/>
  <c r="AC209" i="66" s="1"/>
  <c r="Z136" i="74"/>
  <c r="Z67" i="66"/>
  <c r="Z82" i="74"/>
  <c r="AA82" i="74"/>
  <c r="AA72" i="74"/>
  <c r="Z72" i="74"/>
  <c r="X126" i="74"/>
  <c r="Q126" i="74"/>
  <c r="T126" i="74"/>
  <c r="N275" i="66"/>
  <c r="I465" i="58"/>
  <c r="Z88" i="74"/>
  <c r="Z62" i="74"/>
  <c r="AA62" i="74"/>
  <c r="AA88" i="74"/>
  <c r="AA87" i="74"/>
  <c r="I457" i="37"/>
  <c r="I457" i="41" s="1"/>
  <c r="AA206" i="66"/>
  <c r="AA73" i="66"/>
  <c r="Z63" i="66"/>
  <c r="AA67" i="66"/>
  <c r="AA226" i="66"/>
  <c r="AA72" i="66"/>
  <c r="Z211" i="66"/>
  <c r="AA82" i="66"/>
  <c r="Z226" i="66"/>
  <c r="Z82" i="66"/>
  <c r="AB122" i="66"/>
  <c r="AC122" i="66" s="1"/>
  <c r="Z216" i="66"/>
  <c r="AB266" i="66"/>
  <c r="AC266" i="66" s="1"/>
  <c r="K78" i="66"/>
  <c r="K78" i="74" s="1"/>
  <c r="AB138" i="66"/>
  <c r="AC138" i="66" s="1"/>
  <c r="AB88" i="66"/>
  <c r="AC88" i="66" s="1"/>
  <c r="AB222" i="66"/>
  <c r="AC222" i="66" s="1"/>
  <c r="AB257" i="66"/>
  <c r="AC257" i="66" s="1"/>
  <c r="Z53" i="66"/>
  <c r="AA211" i="66"/>
  <c r="O257" i="66"/>
  <c r="X257" i="66"/>
  <c r="Z197" i="66"/>
  <c r="O88" i="66"/>
  <c r="Z88" i="66" s="1"/>
  <c r="Z280" i="66"/>
  <c r="AA136" i="66"/>
  <c r="AA63" i="66"/>
  <c r="T257" i="66"/>
  <c r="Z72" i="66"/>
  <c r="AA207" i="66"/>
  <c r="Q257" i="66"/>
  <c r="Z207" i="66"/>
  <c r="K90" i="66"/>
  <c r="K65" i="66"/>
  <c r="P270" i="66"/>
  <c r="V270" i="66" s="1"/>
  <c r="I495" i="58"/>
  <c r="C51" i="63" s="1"/>
  <c r="I497" i="58"/>
  <c r="E412" i="38" s="1"/>
  <c r="J456" i="41"/>
  <c r="K234" i="66"/>
  <c r="E304" i="38"/>
  <c r="E310" i="38"/>
  <c r="E345" i="38"/>
  <c r="E339" i="38"/>
  <c r="J487" i="37"/>
  <c r="M133" i="66"/>
  <c r="E112" i="38"/>
  <c r="D32" i="53"/>
  <c r="F32" i="53" s="1"/>
  <c r="K260" i="66"/>
  <c r="J455" i="58"/>
  <c r="I496" i="37"/>
  <c r="I497" i="37"/>
  <c r="I495" i="37"/>
  <c r="Q122" i="66"/>
  <c r="X122" i="66"/>
  <c r="T122" i="66"/>
  <c r="O122" i="66"/>
  <c r="G21" i="39"/>
  <c r="M277" i="66"/>
  <c r="J487" i="58"/>
  <c r="H15" i="53"/>
  <c r="G15" i="53" s="1"/>
  <c r="X222" i="66"/>
  <c r="T222" i="66"/>
  <c r="Q222" i="66"/>
  <c r="X266" i="66"/>
  <c r="T266" i="66"/>
  <c r="Q266" i="66"/>
  <c r="O266" i="66"/>
  <c r="E111" i="38"/>
  <c r="D18" i="8"/>
  <c r="N131" i="66"/>
  <c r="N131" i="74" s="1"/>
  <c r="M132" i="66"/>
  <c r="J488" i="37"/>
  <c r="O222" i="66"/>
  <c r="J483" i="37"/>
  <c r="M131" i="66"/>
  <c r="E333" i="38"/>
  <c r="E327" i="38"/>
  <c r="H21" i="53"/>
  <c r="G21" i="53" s="1"/>
  <c r="E413" i="38"/>
  <c r="G229" i="66"/>
  <c r="E316" i="38"/>
  <c r="E322" i="38"/>
  <c r="J488" i="58"/>
  <c r="M276" i="66"/>
  <c r="O276" i="66" s="1"/>
  <c r="K116" i="66"/>
  <c r="D26" i="53"/>
  <c r="F26" i="53" s="1"/>
  <c r="J455" i="37"/>
  <c r="T138" i="66"/>
  <c r="X138" i="66"/>
  <c r="Q138" i="66"/>
  <c r="O138" i="66"/>
  <c r="G24" i="39"/>
  <c r="M275" i="66"/>
  <c r="J483" i="58"/>
  <c r="Z231" i="66"/>
  <c r="AA231" i="66"/>
  <c r="AA87" i="66"/>
  <c r="Z87" i="66"/>
  <c r="W270" i="66"/>
  <c r="Y270" i="66" s="1"/>
  <c r="K218" i="66"/>
  <c r="I456" i="58"/>
  <c r="Z270" i="66"/>
  <c r="AA270" i="66"/>
  <c r="Z126" i="66"/>
  <c r="AA126" i="66"/>
  <c r="P126" i="66"/>
  <c r="I455" i="58"/>
  <c r="K212" i="66"/>
  <c r="D20" i="53"/>
  <c r="F20" i="53" s="1"/>
  <c r="Q122" i="74" l="1"/>
  <c r="X209" i="66"/>
  <c r="Q209" i="66"/>
  <c r="T209" i="66"/>
  <c r="K65" i="74"/>
  <c r="O65" i="74" s="1"/>
  <c r="P65" i="74" s="1"/>
  <c r="O209" i="66"/>
  <c r="P282" i="66"/>
  <c r="AA63" i="74"/>
  <c r="Z63" i="74"/>
  <c r="Q113" i="74"/>
  <c r="X113" i="74"/>
  <c r="M131" i="74"/>
  <c r="Q131" i="74" s="1"/>
  <c r="O113" i="74"/>
  <c r="P113" i="74" s="1"/>
  <c r="T113" i="74"/>
  <c r="Z232" i="66"/>
  <c r="O138" i="74"/>
  <c r="P138" i="74" s="1"/>
  <c r="X138" i="74"/>
  <c r="K116" i="74"/>
  <c r="X116" i="74" s="1"/>
  <c r="T138" i="74"/>
  <c r="I465" i="41"/>
  <c r="X78" i="66"/>
  <c r="T78" i="66"/>
  <c r="F23" i="39"/>
  <c r="G228" i="66"/>
  <c r="AA122" i="74"/>
  <c r="Z122" i="74"/>
  <c r="AD122" i="74"/>
  <c r="Q78" i="66"/>
  <c r="AD138" i="74"/>
  <c r="C14" i="75" s="1"/>
  <c r="C29" i="75"/>
  <c r="O132" i="66"/>
  <c r="M132" i="74"/>
  <c r="Q132" i="74" s="1"/>
  <c r="X65" i="66"/>
  <c r="Z73" i="74"/>
  <c r="AA73" i="74"/>
  <c r="O133" i="66"/>
  <c r="M133" i="74"/>
  <c r="X90" i="66"/>
  <c r="K90" i="74"/>
  <c r="T90" i="74" s="1"/>
  <c r="P257" i="66"/>
  <c r="V257" i="66" s="1"/>
  <c r="Z87" i="74"/>
  <c r="Q65" i="74"/>
  <c r="V122" i="74"/>
  <c r="W122" i="74"/>
  <c r="Y122" i="74" s="1"/>
  <c r="R122" i="74"/>
  <c r="S122" i="74" s="1"/>
  <c r="U122" i="74" s="1"/>
  <c r="Z121" i="74"/>
  <c r="AA121" i="74"/>
  <c r="AC119" i="74"/>
  <c r="AD119" i="74" s="1"/>
  <c r="O119" i="74"/>
  <c r="P119" i="74" s="1"/>
  <c r="X78" i="74"/>
  <c r="Q78" i="74"/>
  <c r="T78" i="74"/>
  <c r="O78" i="74"/>
  <c r="P78" i="74" s="1"/>
  <c r="AC78" i="74"/>
  <c r="AD78" i="74" s="1"/>
  <c r="AA115" i="74"/>
  <c r="AA120" i="74"/>
  <c r="Z120" i="74"/>
  <c r="AA101" i="74"/>
  <c r="Z101" i="74"/>
  <c r="AA110" i="74"/>
  <c r="Z110" i="74"/>
  <c r="Z115" i="74"/>
  <c r="N227" i="66"/>
  <c r="N281" i="66"/>
  <c r="AA138" i="74"/>
  <c r="Z138" i="74"/>
  <c r="AA111" i="74"/>
  <c r="Z111" i="74"/>
  <c r="O135" i="74"/>
  <c r="AC135" i="74"/>
  <c r="AD135" i="74" s="1"/>
  <c r="Z130" i="74"/>
  <c r="AA130" i="74"/>
  <c r="O126" i="74"/>
  <c r="P126" i="74" s="1"/>
  <c r="AC126" i="74"/>
  <c r="AD126" i="74" s="1"/>
  <c r="T90" i="66"/>
  <c r="AA113" i="66"/>
  <c r="Z257" i="66"/>
  <c r="AA257" i="66"/>
  <c r="Z113" i="66"/>
  <c r="P113" i="66"/>
  <c r="W113" i="66" s="1"/>
  <c r="Y113" i="66" s="1"/>
  <c r="R270" i="66"/>
  <c r="S270" i="66" s="1"/>
  <c r="U270" i="66" s="1"/>
  <c r="AA232" i="66"/>
  <c r="AA88" i="66"/>
  <c r="AB131" i="66"/>
  <c r="AC131" i="66" s="1"/>
  <c r="AB275" i="66"/>
  <c r="AC275" i="66" s="1"/>
  <c r="AB132" i="66"/>
  <c r="AC132" i="66" s="1"/>
  <c r="AB133" i="66"/>
  <c r="AC133" i="66" s="1"/>
  <c r="AB218" i="66"/>
  <c r="AC218" i="66" s="1"/>
  <c r="AB65" i="66"/>
  <c r="AC65" i="66" s="1"/>
  <c r="AB277" i="66"/>
  <c r="AC277" i="66" s="1"/>
  <c r="AB90" i="66"/>
  <c r="AC90" i="66" s="1"/>
  <c r="O78" i="66"/>
  <c r="P222" i="66" s="1"/>
  <c r="AB78" i="66"/>
  <c r="AC78" i="66" s="1"/>
  <c r="AB234" i="66"/>
  <c r="AC234" i="66" s="1"/>
  <c r="AB276" i="66"/>
  <c r="AC276" i="66" s="1"/>
  <c r="F22" i="39"/>
  <c r="O90" i="66"/>
  <c r="Q234" i="66"/>
  <c r="Q90" i="66"/>
  <c r="T65" i="66"/>
  <c r="X234" i="66"/>
  <c r="Q65" i="66"/>
  <c r="T234" i="66"/>
  <c r="O65" i="66"/>
  <c r="P209" i="66" s="1"/>
  <c r="O234" i="66"/>
  <c r="F24" i="39"/>
  <c r="Z276" i="66"/>
  <c r="AA132" i="66"/>
  <c r="Z132" i="66"/>
  <c r="AA276" i="66"/>
  <c r="P132" i="66"/>
  <c r="E303" i="38"/>
  <c r="E309" i="38"/>
  <c r="E321" i="38"/>
  <c r="E315" i="38"/>
  <c r="J455" i="41"/>
  <c r="T116" i="66"/>
  <c r="X116" i="66"/>
  <c r="X212" i="66"/>
  <c r="T212" i="66"/>
  <c r="K74" i="66"/>
  <c r="K74" i="74" s="1"/>
  <c r="T74" i="74" s="1"/>
  <c r="I456" i="37"/>
  <c r="I456" i="41" s="1"/>
  <c r="X218" i="66"/>
  <c r="Q218" i="66"/>
  <c r="T218" i="66"/>
  <c r="O218" i="66"/>
  <c r="Q133" i="66"/>
  <c r="I488" i="58"/>
  <c r="M228" i="66"/>
  <c r="AB228" i="66" s="1"/>
  <c r="J487" i="41"/>
  <c r="R126" i="66"/>
  <c r="S126" i="66" s="1"/>
  <c r="U126" i="66" s="1"/>
  <c r="V126" i="66"/>
  <c r="W126" i="66"/>
  <c r="Y126" i="66" s="1"/>
  <c r="J482" i="37"/>
  <c r="M137" i="66"/>
  <c r="C21" i="63"/>
  <c r="I495" i="41"/>
  <c r="J482" i="58"/>
  <c r="M281" i="66"/>
  <c r="P276" i="66"/>
  <c r="D17" i="8"/>
  <c r="N137" i="66"/>
  <c r="N137" i="74" s="1"/>
  <c r="D14" i="53"/>
  <c r="F14" i="53" s="1"/>
  <c r="I455" i="37"/>
  <c r="K68" i="66"/>
  <c r="K68" i="74" s="1"/>
  <c r="X68" i="74" s="1"/>
  <c r="G84" i="66"/>
  <c r="E406" i="38"/>
  <c r="I497" i="41"/>
  <c r="Q276" i="66"/>
  <c r="P266" i="66"/>
  <c r="G85" i="66"/>
  <c r="G85" i="74" s="1"/>
  <c r="I496" i="41"/>
  <c r="E407" i="38"/>
  <c r="I487" i="58"/>
  <c r="M229" i="66"/>
  <c r="R282" i="66"/>
  <c r="S282" i="66" s="1"/>
  <c r="U282" i="66" s="1"/>
  <c r="V282" i="66"/>
  <c r="W282" i="66"/>
  <c r="Y282" i="66" s="1"/>
  <c r="Q131" i="66"/>
  <c r="O131" i="66"/>
  <c r="H32" i="53"/>
  <c r="G32" i="53" s="1"/>
  <c r="J483" i="41"/>
  <c r="Q277" i="66"/>
  <c r="X260" i="66"/>
  <c r="T260" i="66"/>
  <c r="M227" i="66"/>
  <c r="I483" i="58"/>
  <c r="Q275" i="66"/>
  <c r="O275" i="66"/>
  <c r="J488" i="41"/>
  <c r="P122" i="66"/>
  <c r="Z266" i="66"/>
  <c r="AA266" i="66"/>
  <c r="Z122" i="66"/>
  <c r="AA122" i="66"/>
  <c r="H26" i="53"/>
  <c r="G26" i="53" s="1"/>
  <c r="Q132" i="66"/>
  <c r="N83" i="66"/>
  <c r="N83" i="74" s="1"/>
  <c r="C18" i="8"/>
  <c r="H14" i="53"/>
  <c r="P138" i="66"/>
  <c r="Z282" i="66"/>
  <c r="AA282" i="66"/>
  <c r="Z138" i="66"/>
  <c r="AA138" i="66"/>
  <c r="O277" i="66"/>
  <c r="M83" i="66"/>
  <c r="I483" i="37"/>
  <c r="P277" i="66" l="1"/>
  <c r="T65" i="74"/>
  <c r="X65" i="74"/>
  <c r="AC90" i="74"/>
  <c r="AD90" i="74" s="1"/>
  <c r="AC65" i="74"/>
  <c r="AD65" i="74" s="1"/>
  <c r="Z113" i="74"/>
  <c r="AA113" i="74"/>
  <c r="G84" i="74"/>
  <c r="AC131" i="74"/>
  <c r="AD131" i="74" s="1"/>
  <c r="O131" i="74"/>
  <c r="P131" i="74" s="1"/>
  <c r="AA209" i="66"/>
  <c r="AA65" i="66"/>
  <c r="M83" i="74"/>
  <c r="O83" i="74" s="1"/>
  <c r="P83" i="74" s="1"/>
  <c r="T116" i="74"/>
  <c r="M137" i="74"/>
  <c r="O137" i="74" s="1"/>
  <c r="P137" i="74" s="1"/>
  <c r="C25" i="75"/>
  <c r="C10" i="75"/>
  <c r="P78" i="66"/>
  <c r="W78" i="66" s="1"/>
  <c r="Y78" i="66" s="1"/>
  <c r="AA222" i="66"/>
  <c r="AA78" i="66"/>
  <c r="Z78" i="66"/>
  <c r="Z222" i="66"/>
  <c r="V113" i="66"/>
  <c r="R113" i="66"/>
  <c r="S113" i="66" s="1"/>
  <c r="U113" i="66" s="1"/>
  <c r="AC132" i="74"/>
  <c r="AD132" i="74" s="1"/>
  <c r="X90" i="74"/>
  <c r="Q74" i="74"/>
  <c r="Q90" i="74"/>
  <c r="X74" i="74"/>
  <c r="Q133" i="74"/>
  <c r="AC133" i="74"/>
  <c r="AD133" i="74" s="1"/>
  <c r="O90" i="74"/>
  <c r="P90" i="74" s="1"/>
  <c r="O132" i="74"/>
  <c r="P132" i="74" s="1"/>
  <c r="T68" i="74"/>
  <c r="P65" i="66"/>
  <c r="W65" i="66" s="1"/>
  <c r="Y65" i="66" s="1"/>
  <c r="W257" i="66"/>
  <c r="Y257" i="66" s="1"/>
  <c r="R257" i="66"/>
  <c r="S257" i="66" s="1"/>
  <c r="U257" i="66" s="1"/>
  <c r="AC74" i="74"/>
  <c r="AD74" i="74" s="1"/>
  <c r="O74" i="74"/>
  <c r="P74" i="74" s="1"/>
  <c r="O133" i="74"/>
  <c r="AA90" i="74"/>
  <c r="Z78" i="74"/>
  <c r="AA78" i="74"/>
  <c r="V113" i="74"/>
  <c r="R113" i="74"/>
  <c r="S113" i="74" s="1"/>
  <c r="U113" i="74" s="1"/>
  <c r="W113" i="74"/>
  <c r="Y113" i="74" s="1"/>
  <c r="AA135" i="74"/>
  <c r="Z135" i="74"/>
  <c r="V138" i="74"/>
  <c r="W138" i="74"/>
  <c r="Y138" i="74" s="1"/>
  <c r="R138" i="74"/>
  <c r="S138" i="74" s="1"/>
  <c r="U138" i="74" s="1"/>
  <c r="AA119" i="74"/>
  <c r="Z119" i="74"/>
  <c r="Z65" i="74"/>
  <c r="AA65" i="74"/>
  <c r="O71" i="74"/>
  <c r="P71" i="74" s="1"/>
  <c r="AC71" i="74"/>
  <c r="AD71" i="74" s="1"/>
  <c r="AA126" i="74"/>
  <c r="Z126" i="74"/>
  <c r="N233" i="66"/>
  <c r="O228" i="66"/>
  <c r="W222" i="66"/>
  <c r="Y222" i="66" s="1"/>
  <c r="V222" i="66"/>
  <c r="R222" i="66"/>
  <c r="S222" i="66" s="1"/>
  <c r="U222" i="66" s="1"/>
  <c r="AB137" i="66"/>
  <c r="AC137" i="66" s="1"/>
  <c r="AB229" i="66"/>
  <c r="AC229" i="66" s="1"/>
  <c r="AB227" i="66"/>
  <c r="AC227" i="66" s="1"/>
  <c r="AB83" i="66"/>
  <c r="AC83" i="66" s="1"/>
  <c r="AB74" i="66"/>
  <c r="AC74" i="66" s="1"/>
  <c r="AB281" i="66"/>
  <c r="AC281" i="66" s="1"/>
  <c r="AC228" i="66"/>
  <c r="Z209" i="66"/>
  <c r="Z65" i="66"/>
  <c r="I483" i="41"/>
  <c r="W209" i="66"/>
  <c r="Y209" i="66" s="1"/>
  <c r="R209" i="66"/>
  <c r="S209" i="66" s="1"/>
  <c r="U209" i="66" s="1"/>
  <c r="V209" i="66"/>
  <c r="AA277" i="66"/>
  <c r="P90" i="66"/>
  <c r="AA234" i="66"/>
  <c r="Z234" i="66"/>
  <c r="P234" i="66"/>
  <c r="AA90" i="66"/>
  <c r="Z90" i="66"/>
  <c r="J482" i="41"/>
  <c r="E326" i="38"/>
  <c r="E332" i="38"/>
  <c r="Q229" i="66"/>
  <c r="Z133" i="66"/>
  <c r="E344" i="38"/>
  <c r="E338" i="38"/>
  <c r="Q137" i="66"/>
  <c r="O137" i="66"/>
  <c r="P133" i="66"/>
  <c r="Q83" i="66"/>
  <c r="O83" i="66"/>
  <c r="AA133" i="66"/>
  <c r="I482" i="58"/>
  <c r="M233" i="66"/>
  <c r="V122" i="66"/>
  <c r="W122" i="66"/>
  <c r="Y122" i="66" s="1"/>
  <c r="R122" i="66"/>
  <c r="S122" i="66" s="1"/>
  <c r="U122" i="66" s="1"/>
  <c r="Q227" i="66"/>
  <c r="O227" i="66"/>
  <c r="W138" i="66"/>
  <c r="Y138" i="66" s="1"/>
  <c r="R138" i="66"/>
  <c r="S138" i="66" s="1"/>
  <c r="U138" i="66" s="1"/>
  <c r="V138" i="66"/>
  <c r="Z277" i="66"/>
  <c r="M84" i="66"/>
  <c r="M84" i="74" s="1"/>
  <c r="O84" i="74" s="1"/>
  <c r="P84" i="74" s="1"/>
  <c r="I488" i="37"/>
  <c r="I488" i="41" s="1"/>
  <c r="R276" i="66"/>
  <c r="S276" i="66" s="1"/>
  <c r="U276" i="66" s="1"/>
  <c r="W276" i="66"/>
  <c r="Y276" i="66" s="1"/>
  <c r="V276" i="66"/>
  <c r="Q228" i="66"/>
  <c r="C17" i="8"/>
  <c r="N89" i="66"/>
  <c r="I482" i="37"/>
  <c r="M89" i="66"/>
  <c r="X68" i="66"/>
  <c r="T68" i="66"/>
  <c r="R132" i="66"/>
  <c r="S132" i="66" s="1"/>
  <c r="U132" i="66" s="1"/>
  <c r="W132" i="66"/>
  <c r="Y132" i="66" s="1"/>
  <c r="V132" i="66"/>
  <c r="P131" i="66"/>
  <c r="Z275" i="66"/>
  <c r="AA275" i="66"/>
  <c r="Z131" i="66"/>
  <c r="AA131" i="66"/>
  <c r="P275" i="66"/>
  <c r="I455" i="41"/>
  <c r="Q281" i="66"/>
  <c r="O281" i="66"/>
  <c r="G14" i="53"/>
  <c r="H20" i="53"/>
  <c r="G20" i="53" s="1"/>
  <c r="X74" i="66"/>
  <c r="Q74" i="66"/>
  <c r="T74" i="66"/>
  <c r="O74" i="66"/>
  <c r="P218" i="66" s="1"/>
  <c r="F21" i="39"/>
  <c r="V266" i="66"/>
  <c r="R266" i="66"/>
  <c r="S266" i="66" s="1"/>
  <c r="U266" i="66" s="1"/>
  <c r="W266" i="66"/>
  <c r="Y266" i="66" s="1"/>
  <c r="R277" i="66"/>
  <c r="S277" i="66" s="1"/>
  <c r="U277" i="66" s="1"/>
  <c r="W277" i="66"/>
  <c r="Y277" i="66" s="1"/>
  <c r="V277" i="66"/>
  <c r="O229" i="66"/>
  <c r="I487" i="37"/>
  <c r="I487" i="41" s="1"/>
  <c r="M85" i="66"/>
  <c r="M85" i="74" s="1"/>
  <c r="O85" i="74" s="1"/>
  <c r="AA83" i="74" l="1"/>
  <c r="Z131" i="74"/>
  <c r="AA131" i="74"/>
  <c r="Z137" i="74"/>
  <c r="AC137" i="74"/>
  <c r="AD137" i="74" s="1"/>
  <c r="C8" i="75" s="1"/>
  <c r="C15" i="75" s="1"/>
  <c r="Z83" i="74"/>
  <c r="AC83" i="74"/>
  <c r="AD83" i="74" s="1"/>
  <c r="Q83" i="74"/>
  <c r="R78" i="66"/>
  <c r="S78" i="66" s="1"/>
  <c r="U78" i="66" s="1"/>
  <c r="V78" i="66"/>
  <c r="N89" i="74"/>
  <c r="Z74" i="74"/>
  <c r="M89" i="74"/>
  <c r="Z90" i="74"/>
  <c r="C23" i="75"/>
  <c r="C30" i="75" s="1"/>
  <c r="Q137" i="74"/>
  <c r="W137" i="74" s="1"/>
  <c r="Y137" i="74" s="1"/>
  <c r="AA74" i="74"/>
  <c r="Z132" i="74"/>
  <c r="AA132" i="74"/>
  <c r="P85" i="74"/>
  <c r="V85" i="74" s="1"/>
  <c r="AA85" i="74"/>
  <c r="Z85" i="74"/>
  <c r="R65" i="66"/>
  <c r="S65" i="66" s="1"/>
  <c r="U65" i="66" s="1"/>
  <c r="Q85" i="74"/>
  <c r="AC85" i="74"/>
  <c r="AD85" i="74" s="1"/>
  <c r="Q84" i="74"/>
  <c r="AC84" i="74"/>
  <c r="AD84" i="74" s="1"/>
  <c r="P133" i="74"/>
  <c r="AA133" i="74"/>
  <c r="Z133" i="74"/>
  <c r="V65" i="66"/>
  <c r="T104" i="74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AA137" i="74"/>
  <c r="V90" i="74"/>
  <c r="R90" i="74"/>
  <c r="S90" i="74" s="1"/>
  <c r="U90" i="74" s="1"/>
  <c r="W90" i="74"/>
  <c r="Y90" i="74" s="1"/>
  <c r="V83" i="74"/>
  <c r="R83" i="74"/>
  <c r="S83" i="74" s="1"/>
  <c r="U83" i="74" s="1"/>
  <c r="W83" i="74"/>
  <c r="Y83" i="74" s="1"/>
  <c r="V137" i="74"/>
  <c r="R137" i="74"/>
  <c r="S137" i="74" s="1"/>
  <c r="U137" i="74" s="1"/>
  <c r="AA71" i="74"/>
  <c r="Z71" i="74"/>
  <c r="V131" i="74"/>
  <c r="W131" i="74"/>
  <c r="Y131" i="74" s="1"/>
  <c r="R131" i="74"/>
  <c r="S131" i="74" s="1"/>
  <c r="U131" i="74" s="1"/>
  <c r="V65" i="74"/>
  <c r="W65" i="74"/>
  <c r="Y65" i="74" s="1"/>
  <c r="R65" i="74"/>
  <c r="S65" i="74" s="1"/>
  <c r="U65" i="74" s="1"/>
  <c r="N260" i="66"/>
  <c r="V74" i="74"/>
  <c r="R74" i="74"/>
  <c r="S74" i="74" s="1"/>
  <c r="U74" i="74" s="1"/>
  <c r="W74" i="74"/>
  <c r="Y74" i="74" s="1"/>
  <c r="V78" i="74"/>
  <c r="R78" i="74"/>
  <c r="S78" i="74" s="1"/>
  <c r="U78" i="74" s="1"/>
  <c r="W78" i="74"/>
  <c r="Y78" i="74" s="1"/>
  <c r="V132" i="74"/>
  <c r="W132" i="74"/>
  <c r="Y132" i="74" s="1"/>
  <c r="R132" i="74"/>
  <c r="S132" i="74" s="1"/>
  <c r="U132" i="74" s="1"/>
  <c r="Z84" i="74"/>
  <c r="AA84" i="74"/>
  <c r="V119" i="74"/>
  <c r="R119" i="74"/>
  <c r="S119" i="74" s="1"/>
  <c r="U119" i="74" s="1"/>
  <c r="W119" i="74"/>
  <c r="Y119" i="74" s="1"/>
  <c r="V126" i="74"/>
  <c r="W126" i="74"/>
  <c r="Y126" i="74" s="1"/>
  <c r="R126" i="74"/>
  <c r="S126" i="74" s="1"/>
  <c r="U126" i="74" s="1"/>
  <c r="AB89" i="66"/>
  <c r="AC89" i="66" s="1"/>
  <c r="AB233" i="66"/>
  <c r="AC233" i="66" s="1"/>
  <c r="AB84" i="66"/>
  <c r="AC84" i="66" s="1"/>
  <c r="AB85" i="66"/>
  <c r="AC85" i="66" s="1"/>
  <c r="P281" i="66"/>
  <c r="W281" i="66" s="1"/>
  <c r="Y281" i="66" s="1"/>
  <c r="R234" i="66"/>
  <c r="S234" i="66" s="1"/>
  <c r="U234" i="66" s="1"/>
  <c r="W234" i="66"/>
  <c r="Y234" i="66" s="1"/>
  <c r="V234" i="66"/>
  <c r="R90" i="66"/>
  <c r="S90" i="66" s="1"/>
  <c r="U90" i="66" s="1"/>
  <c r="W90" i="66"/>
  <c r="Y90" i="66" s="1"/>
  <c r="V90" i="66"/>
  <c r="R131" i="66"/>
  <c r="S131" i="66" s="1"/>
  <c r="U131" i="66" s="1"/>
  <c r="W131" i="66"/>
  <c r="Y131" i="66" s="1"/>
  <c r="V131" i="66"/>
  <c r="Q84" i="66"/>
  <c r="V133" i="66"/>
  <c r="W133" i="66"/>
  <c r="Y133" i="66" s="1"/>
  <c r="R133" i="66"/>
  <c r="S133" i="66" s="1"/>
  <c r="U133" i="66" s="1"/>
  <c r="W218" i="66"/>
  <c r="Y218" i="66" s="1"/>
  <c r="R218" i="66"/>
  <c r="S218" i="66" s="1"/>
  <c r="U218" i="66" s="1"/>
  <c r="V218" i="66"/>
  <c r="Q89" i="66"/>
  <c r="O89" i="66"/>
  <c r="AA281" i="66"/>
  <c r="Z137" i="66"/>
  <c r="P137" i="66"/>
  <c r="AA137" i="66"/>
  <c r="Z281" i="66"/>
  <c r="I482" i="41"/>
  <c r="Q85" i="66"/>
  <c r="AA218" i="66"/>
  <c r="P74" i="66"/>
  <c r="AA74" i="66"/>
  <c r="Z218" i="66"/>
  <c r="Z74" i="66"/>
  <c r="O84" i="66"/>
  <c r="J481" i="58"/>
  <c r="M260" i="66"/>
  <c r="Q233" i="66"/>
  <c r="O233" i="66"/>
  <c r="O85" i="66"/>
  <c r="E314" i="38"/>
  <c r="E320" i="38"/>
  <c r="E302" i="38"/>
  <c r="E308" i="38"/>
  <c r="P83" i="66"/>
  <c r="AA83" i="66"/>
  <c r="Z83" i="66"/>
  <c r="AA227" i="66"/>
  <c r="Z227" i="66"/>
  <c r="R275" i="66"/>
  <c r="S275" i="66" s="1"/>
  <c r="U275" i="66" s="1"/>
  <c r="V275" i="66"/>
  <c r="W275" i="66"/>
  <c r="Y275" i="66" s="1"/>
  <c r="D16" i="8"/>
  <c r="N116" i="66"/>
  <c r="P227" i="66"/>
  <c r="M116" i="66"/>
  <c r="J481" i="37"/>
  <c r="O89" i="74" l="1"/>
  <c r="P89" i="74" s="1"/>
  <c r="M116" i="74"/>
  <c r="Q116" i="74" s="1"/>
  <c r="AC89" i="74"/>
  <c r="AD89" i="74" s="1"/>
  <c r="Q89" i="74"/>
  <c r="W89" i="74" s="1"/>
  <c r="Y89" i="74" s="1"/>
  <c r="W85" i="74"/>
  <c r="Y85" i="74" s="1"/>
  <c r="R85" i="74"/>
  <c r="S85" i="74" s="1"/>
  <c r="U85" i="74" s="1"/>
  <c r="V133" i="74"/>
  <c r="W133" i="74"/>
  <c r="Y133" i="74" s="1"/>
  <c r="R133" i="74"/>
  <c r="S133" i="74" s="1"/>
  <c r="U133" i="74" s="1"/>
  <c r="G20" i="39"/>
  <c r="N116" i="74"/>
  <c r="U104" i="74"/>
  <c r="Y104" i="74"/>
  <c r="S56" i="74"/>
  <c r="U56" i="74" s="1"/>
  <c r="Q56" i="74"/>
  <c r="W56" i="74" s="1"/>
  <c r="Y56" i="74" s="1"/>
  <c r="Z89" i="74"/>
  <c r="V84" i="74"/>
  <c r="W84" i="74"/>
  <c r="Y84" i="74" s="1"/>
  <c r="R84" i="74"/>
  <c r="S84" i="74" s="1"/>
  <c r="U84" i="74" s="1"/>
  <c r="N212" i="66"/>
  <c r="V71" i="74"/>
  <c r="R71" i="74"/>
  <c r="S71" i="74" s="1"/>
  <c r="U71" i="74" s="1"/>
  <c r="W71" i="74"/>
  <c r="Y71" i="74" s="1"/>
  <c r="V89" i="74"/>
  <c r="R89" i="74"/>
  <c r="S89" i="74" s="1"/>
  <c r="U89" i="74" s="1"/>
  <c r="AB116" i="66"/>
  <c r="AC116" i="66" s="1"/>
  <c r="AB260" i="66"/>
  <c r="AC260" i="66" s="1"/>
  <c r="R281" i="66"/>
  <c r="S281" i="66" s="1"/>
  <c r="U281" i="66" s="1"/>
  <c r="P233" i="66"/>
  <c r="R233" i="66" s="1"/>
  <c r="S233" i="66" s="1"/>
  <c r="U233" i="66" s="1"/>
  <c r="J481" i="41"/>
  <c r="V281" i="66"/>
  <c r="R83" i="66"/>
  <c r="S83" i="66" s="1"/>
  <c r="U83" i="66" s="1"/>
  <c r="W83" i="66"/>
  <c r="Y83" i="66" s="1"/>
  <c r="V83" i="66"/>
  <c r="R227" i="66"/>
  <c r="S227" i="66" s="1"/>
  <c r="U227" i="66" s="1"/>
  <c r="W227" i="66"/>
  <c r="Y227" i="66" s="1"/>
  <c r="V227" i="66"/>
  <c r="C16" i="8"/>
  <c r="N68" i="66"/>
  <c r="Q260" i="66"/>
  <c r="O260" i="66"/>
  <c r="P89" i="66"/>
  <c r="Z233" i="66"/>
  <c r="AA233" i="66"/>
  <c r="Z89" i="66"/>
  <c r="AA89" i="66"/>
  <c r="Q116" i="66"/>
  <c r="O116" i="66"/>
  <c r="I481" i="37"/>
  <c r="M68" i="66"/>
  <c r="M68" i="74" s="1"/>
  <c r="Q68" i="74" s="1"/>
  <c r="I481" i="58"/>
  <c r="M212" i="66"/>
  <c r="Z228" i="66"/>
  <c r="P84" i="66"/>
  <c r="AA84" i="66"/>
  <c r="AA228" i="66"/>
  <c r="Z84" i="66"/>
  <c r="P228" i="66"/>
  <c r="P85" i="66"/>
  <c r="Z85" i="66"/>
  <c r="Z229" i="66"/>
  <c r="AA229" i="66"/>
  <c r="AA85" i="66"/>
  <c r="P229" i="66"/>
  <c r="V74" i="66"/>
  <c r="R74" i="66"/>
  <c r="S74" i="66" s="1"/>
  <c r="U74" i="66" s="1"/>
  <c r="W74" i="66"/>
  <c r="Y74" i="66" s="1"/>
  <c r="R137" i="66"/>
  <c r="S137" i="66" s="1"/>
  <c r="U137" i="66" s="1"/>
  <c r="W137" i="66"/>
  <c r="Y137" i="66" s="1"/>
  <c r="V137" i="66"/>
  <c r="AC116" i="74" l="1"/>
  <c r="AD116" i="74" s="1"/>
  <c r="AA89" i="74"/>
  <c r="O116" i="74"/>
  <c r="F20" i="39"/>
  <c r="N68" i="74"/>
  <c r="O68" i="74" s="1"/>
  <c r="AA116" i="74"/>
  <c r="AB212" i="66"/>
  <c r="AC212" i="66" s="1"/>
  <c r="AB68" i="66"/>
  <c r="AC68" i="66" s="1"/>
  <c r="V233" i="66"/>
  <c r="W233" i="66"/>
  <c r="Y233" i="66" s="1"/>
  <c r="P260" i="66"/>
  <c r="R260" i="66" s="1"/>
  <c r="S260" i="66" s="1"/>
  <c r="U260" i="66" s="1"/>
  <c r="I481" i="41"/>
  <c r="Z260" i="66"/>
  <c r="AA116" i="66"/>
  <c r="P116" i="66"/>
  <c r="AA260" i="66"/>
  <c r="Z116" i="66"/>
  <c r="V84" i="66"/>
  <c r="R84" i="66"/>
  <c r="S84" i="66" s="1"/>
  <c r="U84" i="66" s="1"/>
  <c r="W84" i="66"/>
  <c r="Y84" i="66" s="1"/>
  <c r="W85" i="66"/>
  <c r="Y85" i="66" s="1"/>
  <c r="V85" i="66"/>
  <c r="R85" i="66"/>
  <c r="S85" i="66" s="1"/>
  <c r="U85" i="66" s="1"/>
  <c r="O212" i="66"/>
  <c r="Q212" i="66"/>
  <c r="R89" i="66"/>
  <c r="S89" i="66" s="1"/>
  <c r="U89" i="66" s="1"/>
  <c r="V89" i="66"/>
  <c r="W89" i="66"/>
  <c r="Y89" i="66" s="1"/>
  <c r="O68" i="66"/>
  <c r="Q68" i="66"/>
  <c r="V229" i="66"/>
  <c r="R229" i="66"/>
  <c r="S229" i="66" s="1"/>
  <c r="U229" i="66" s="1"/>
  <c r="W229" i="66"/>
  <c r="Y229" i="66" s="1"/>
  <c r="V228" i="66"/>
  <c r="W228" i="66"/>
  <c r="Y228" i="66" s="1"/>
  <c r="R228" i="66"/>
  <c r="S228" i="66" s="1"/>
  <c r="U228" i="66" s="1"/>
  <c r="P68" i="74" l="1"/>
  <c r="V68" i="74" s="1"/>
  <c r="Z68" i="74"/>
  <c r="AA68" i="74"/>
  <c r="P116" i="74"/>
  <c r="Z116" i="74"/>
  <c r="AC68" i="74"/>
  <c r="AD68" i="74" s="1"/>
  <c r="W260" i="66"/>
  <c r="Y260" i="66" s="1"/>
  <c r="V260" i="66"/>
  <c r="P212" i="66"/>
  <c r="W212" i="66" s="1"/>
  <c r="Y212" i="66" s="1"/>
  <c r="AA68" i="66"/>
  <c r="P68" i="66"/>
  <c r="Z68" i="66"/>
  <c r="AA212" i="66"/>
  <c r="Z212" i="66"/>
  <c r="W116" i="66"/>
  <c r="Y116" i="66" s="1"/>
  <c r="V116" i="66"/>
  <c r="R116" i="66"/>
  <c r="S116" i="66" s="1"/>
  <c r="U116" i="66" s="1"/>
  <c r="W68" i="74" l="1"/>
  <c r="Y68" i="74" s="1"/>
  <c r="R68" i="74"/>
  <c r="S68" i="74" s="1"/>
  <c r="U68" i="74" s="1"/>
  <c r="R116" i="74"/>
  <c r="S116" i="74" s="1"/>
  <c r="U116" i="74" s="1"/>
  <c r="V116" i="74"/>
  <c r="W116" i="74"/>
  <c r="Y116" i="74" s="1"/>
  <c r="V212" i="66"/>
  <c r="R212" i="66"/>
  <c r="S212" i="66" s="1"/>
  <c r="U212" i="66" s="1"/>
  <c r="R68" i="66"/>
  <c r="S68" i="66" s="1"/>
  <c r="U68" i="66" s="1"/>
  <c r="W68" i="66"/>
  <c r="Y68" i="66" s="1"/>
  <c r="V68" i="66"/>
  <c r="G34" i="72" l="1"/>
  <c r="G3" i="72"/>
  <c r="G158" i="72"/>
  <c r="G127" i="72"/>
  <c r="G96" i="72"/>
  <c r="G65" i="72"/>
  <c r="I4" i="58"/>
  <c r="I4" i="37"/>
  <c r="G189" i="72"/>
  <c r="G220" i="72"/>
  <c r="J4" i="37"/>
  <c r="J4" i="58"/>
  <c r="G251" i="72"/>
  <c r="G282" i="72"/>
  <c r="O4" i="58" l="1"/>
  <c r="G246" i="66"/>
  <c r="E37" i="53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9" i="53"/>
  <c r="I4" i="41"/>
  <c r="D45" i="39" s="1"/>
  <c r="G54" i="66"/>
  <c r="G198" i="66"/>
  <c r="E25" i="53"/>
  <c r="L45" i="39"/>
  <c r="N4" i="58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1" i="53"/>
  <c r="G102" i="66"/>
  <c r="J4" i="41"/>
  <c r="E45" i="39" s="1"/>
  <c r="H4" i="58"/>
  <c r="H4" i="37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6" i="66" l="1"/>
  <c r="E7" i="53"/>
  <c r="H4" i="41"/>
  <c r="K45" i="39" s="1"/>
  <c r="E158" i="38"/>
  <c r="L59" i="39"/>
  <c r="L60" i="39" s="1"/>
  <c r="L56" i="39"/>
  <c r="E124" i="38"/>
  <c r="E59" i="39"/>
  <c r="E60" i="39" s="1"/>
  <c r="E56" i="39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02" i="74"/>
  <c r="G54" i="74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07" i="38"/>
  <c r="D59" i="39"/>
  <c r="D60" i="39" s="1"/>
  <c r="D56" i="39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M45" i="39"/>
  <c r="M4" i="58"/>
  <c r="G150" i="66"/>
  <c r="E13" i="53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C45" i="39" l="1"/>
  <c r="E90" i="38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4" i="72"/>
  <c r="F4" i="72" s="1"/>
  <c r="E58" i="39"/>
  <c r="E57" i="39"/>
  <c r="E128" i="72"/>
  <c r="F128" i="72" s="1"/>
  <c r="J466" i="37"/>
  <c r="K102" i="66"/>
  <c r="J474" i="37"/>
  <c r="D31" i="53"/>
  <c r="F31" i="53" s="1"/>
  <c r="H37" i="53" s="1"/>
  <c r="D58" i="39"/>
  <c r="D57" i="39"/>
  <c r="L58" i="39"/>
  <c r="L57" i="39"/>
  <c r="E175" i="38"/>
  <c r="M56" i="39"/>
  <c r="M59" i="39"/>
  <c r="M60" i="39" s="1"/>
  <c r="E159" i="72"/>
  <c r="F159" i="72" s="1"/>
  <c r="E35" i="72"/>
  <c r="F35" i="72" s="1"/>
  <c r="K54" i="66"/>
  <c r="I466" i="37"/>
  <c r="I474" i="37"/>
  <c r="D19" i="53"/>
  <c r="F19" i="53" s="1"/>
  <c r="H25" i="53" s="1"/>
  <c r="I466" i="58"/>
  <c r="D25" i="53"/>
  <c r="F25" i="53" s="1"/>
  <c r="I474" i="58"/>
  <c r="K198" i="66"/>
  <c r="K59" i="39"/>
  <c r="K60" i="39" s="1"/>
  <c r="K56" i="39"/>
  <c r="E141" i="38"/>
  <c r="E252" i="72"/>
  <c r="F252" i="72" s="1"/>
  <c r="G6" i="74"/>
  <c r="C59" i="39" l="1"/>
  <c r="C60" i="39" s="1"/>
  <c r="C56" i="39"/>
  <c r="E67" i="72"/>
  <c r="F67" i="72" s="1"/>
  <c r="E191" i="72"/>
  <c r="F191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D13" i="53"/>
  <c r="F13" i="53" s="1"/>
  <c r="H7" i="53" s="1"/>
  <c r="H466" i="58"/>
  <c r="K150" i="66"/>
  <c r="H474" i="58"/>
  <c r="D37" i="53"/>
  <c r="F37" i="53" s="1"/>
  <c r="J466" i="58"/>
  <c r="J466" i="41" s="1"/>
  <c r="K246" i="66"/>
  <c r="K102" i="74" s="1"/>
  <c r="J474" i="58"/>
  <c r="K58" i="39"/>
  <c r="K57" i="39"/>
  <c r="E98" i="72"/>
  <c r="F98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22" i="72"/>
  <c r="F222" i="72" s="1"/>
  <c r="D7" i="53"/>
  <c r="F7" i="53" s="1"/>
  <c r="H474" i="37"/>
  <c r="H466" i="37"/>
  <c r="K6" i="66"/>
  <c r="G25" i="53"/>
  <c r="H19" i="53"/>
  <c r="G19" i="53" s="1"/>
  <c r="G104" i="66"/>
  <c r="J479" i="37"/>
  <c r="G200" i="66"/>
  <c r="I479" i="58"/>
  <c r="X102" i="66"/>
  <c r="T102" i="66"/>
  <c r="G103" i="66"/>
  <c r="J489" i="37"/>
  <c r="G199" i="66"/>
  <c r="I489" i="58"/>
  <c r="I479" i="37"/>
  <c r="G56" i="66"/>
  <c r="I474" i="4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58" i="39"/>
  <c r="C57" i="39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M58" i="39"/>
  <c r="M57" i="39"/>
  <c r="G55" i="66"/>
  <c r="I466" i="41"/>
  <c r="I489" i="37"/>
  <c r="K54" i="74"/>
  <c r="X54" i="66"/>
  <c r="T54" i="66"/>
  <c r="X198" i="66"/>
  <c r="T198" i="66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160" i="72" l="1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I489" i="41"/>
  <c r="E253" i="72"/>
  <c r="F253" i="72" s="1"/>
  <c r="E36" i="72"/>
  <c r="F36" i="72" s="1"/>
  <c r="J480" i="37"/>
  <c r="E366" i="38"/>
  <c r="L104" i="66" s="1"/>
  <c r="O104" i="6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103" i="66"/>
  <c r="O103" i="66" s="1"/>
  <c r="E313" i="38"/>
  <c r="E307" i="38"/>
  <c r="X54" i="74"/>
  <c r="T54" i="74"/>
  <c r="E319" i="38"/>
  <c r="E325" i="38"/>
  <c r="N198" i="66" s="1"/>
  <c r="K6" i="74"/>
  <c r="X6" i="66"/>
  <c r="T6" i="66"/>
  <c r="J474" i="41"/>
  <c r="J479" i="58"/>
  <c r="G248" i="66"/>
  <c r="E129" i="72"/>
  <c r="F129" i="72" s="1"/>
  <c r="G7" i="66"/>
  <c r="H489" i="37"/>
  <c r="H466" i="41"/>
  <c r="T246" i="66"/>
  <c r="X246" i="66"/>
  <c r="M55" i="66"/>
  <c r="O55" i="66" s="1"/>
  <c r="G55" i="74"/>
  <c r="G8" i="66"/>
  <c r="H474" i="41"/>
  <c r="H479" i="37"/>
  <c r="G247" i="66"/>
  <c r="J489" i="58"/>
  <c r="J489" i="41" s="1"/>
  <c r="X102" i="74"/>
  <c r="T102" i="74"/>
  <c r="H13" i="53"/>
  <c r="G13" i="53" s="1"/>
  <c r="G7" i="53"/>
  <c r="H31" i="53"/>
  <c r="G31" i="53" s="1"/>
  <c r="G37" i="53"/>
  <c r="G56" i="74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79" i="58"/>
  <c r="G152" i="66"/>
  <c r="E192" i="72"/>
  <c r="F192" i="72" s="1"/>
  <c r="E360" i="38"/>
  <c r="L56" i="66" s="1"/>
  <c r="I479" i="41"/>
  <c r="I480" i="37"/>
  <c r="E285" i="72"/>
  <c r="F285" i="72" s="1"/>
  <c r="T150" i="66"/>
  <c r="X150" i="66"/>
  <c r="E5" i="72"/>
  <c r="F5" i="72" s="1"/>
  <c r="E378" i="38"/>
  <c r="L200" i="66" s="1"/>
  <c r="O200" i="66" s="1"/>
  <c r="I480" i="58"/>
  <c r="E379" i="38" s="1"/>
  <c r="L219" i="66" s="1"/>
  <c r="H489" i="58"/>
  <c r="G151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M199" i="66"/>
  <c r="Q199" i="66" s="1"/>
  <c r="L56" i="74" l="1"/>
  <c r="AC56" i="74" s="1"/>
  <c r="AD56" i="74" s="1"/>
  <c r="E254" i="72"/>
  <c r="F254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AB199" i="66"/>
  <c r="AC199" i="66" s="1"/>
  <c r="H489" i="41"/>
  <c r="AB56" i="66"/>
  <c r="AC56" i="66" s="1"/>
  <c r="O56" i="66"/>
  <c r="H479" i="41"/>
  <c r="E354" i="38"/>
  <c r="L8" i="66" s="1"/>
  <c r="AB8" i="66" s="1"/>
  <c r="AC8" i="66" s="1"/>
  <c r="H480" i="37"/>
  <c r="M151" i="66"/>
  <c r="Q151" i="66" s="1"/>
  <c r="W151" i="66" s="1"/>
  <c r="Y151" i="66" s="1"/>
  <c r="E331" i="38"/>
  <c r="E337" i="38"/>
  <c r="E289" i="38"/>
  <c r="E283" i="38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O199" i="66"/>
  <c r="P199" i="66" s="1"/>
  <c r="C20" i="8"/>
  <c r="N54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349" i="38"/>
  <c r="N246" i="66" s="1"/>
  <c r="E343" i="38"/>
  <c r="M7" i="66"/>
  <c r="O7" i="66" s="1"/>
  <c r="G7" i="74"/>
  <c r="E99" i="72"/>
  <c r="F99" i="72" s="1"/>
  <c r="G8" i="74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I486" i="58"/>
  <c r="M198" i="66"/>
  <c r="E361" i="38"/>
  <c r="L75" i="66" s="1"/>
  <c r="I480" i="41"/>
  <c r="G104" i="74"/>
  <c r="E295" i="38"/>
  <c r="E301" i="38"/>
  <c r="N150" i="66" s="1"/>
  <c r="J479" i="41"/>
  <c r="E384" i="38"/>
  <c r="L248" i="66" s="1"/>
  <c r="O248" i="66" s="1"/>
  <c r="AA104" i="66" s="1"/>
  <c r="J480" i="58"/>
  <c r="E385" i="38" s="1"/>
  <c r="L267" i="66" s="1"/>
  <c r="E69" i="72"/>
  <c r="F6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AB55" i="66"/>
  <c r="AC55" i="66" s="1"/>
  <c r="Q55" i="66"/>
  <c r="M55" i="74"/>
  <c r="Q55" i="74" s="1"/>
  <c r="M247" i="66"/>
  <c r="Q247" i="66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AB104" i="66"/>
  <c r="AC104" i="66" s="1"/>
  <c r="AB219" i="66"/>
  <c r="AC219" i="66" s="1"/>
  <c r="O219" i="66"/>
  <c r="E367" i="38"/>
  <c r="L123" i="66" s="1"/>
  <c r="G103" i="74"/>
  <c r="Z56" i="66"/>
  <c r="AA200" i="66"/>
  <c r="Z200" i="66"/>
  <c r="AA56" i="66"/>
  <c r="T6" i="74"/>
  <c r="X6" i="74"/>
  <c r="AB103" i="66"/>
  <c r="AC103" i="66" s="1"/>
  <c r="Q103" i="66"/>
  <c r="E372" i="38"/>
  <c r="L152" i="66" s="1"/>
  <c r="O152" i="66" s="1"/>
  <c r="H480" i="58"/>
  <c r="E373" i="38" s="1"/>
  <c r="L171" i="66" s="1"/>
  <c r="AB200" i="66"/>
  <c r="AC200" i="66" s="1"/>
  <c r="E223" i="72"/>
  <c r="F223" i="72" s="1"/>
  <c r="I486" i="37"/>
  <c r="M54" i="66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O56" i="74" l="1"/>
  <c r="AB151" i="66"/>
  <c r="AC151" i="66" s="1"/>
  <c r="I486" i="4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O151" i="66"/>
  <c r="P151" i="66" s="1"/>
  <c r="E130" i="72"/>
  <c r="F130" i="72" s="1"/>
  <c r="L104" i="74"/>
  <c r="AC104" i="74" s="1"/>
  <c r="AD104" i="74" s="1"/>
  <c r="O8" i="66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AB248" i="66"/>
  <c r="AC248" i="66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AB171" i="66"/>
  <c r="AC171" i="66" s="1"/>
  <c r="O171" i="66"/>
  <c r="E193" i="72"/>
  <c r="F193" i="72" s="1"/>
  <c r="AB7" i="66"/>
  <c r="AC7" i="66" s="1"/>
  <c r="M7" i="74"/>
  <c r="Q7" i="74" s="1"/>
  <c r="W7" i="74" s="1"/>
  <c r="Y7" i="74" s="1"/>
  <c r="Q7" i="66"/>
  <c r="W7" i="66" s="1"/>
  <c r="Y7" i="66" s="1"/>
  <c r="E6" i="72"/>
  <c r="F6" i="72" s="1"/>
  <c r="M102" i="66"/>
  <c r="J486" i="37"/>
  <c r="AB152" i="66"/>
  <c r="AC152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Q198" i="66"/>
  <c r="AB198" i="66"/>
  <c r="AC198" i="66" s="1"/>
  <c r="O198" i="66"/>
  <c r="O267" i="66"/>
  <c r="AB267" i="66"/>
  <c r="AC267" i="66" s="1"/>
  <c r="E286" i="72"/>
  <c r="F286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AA199" i="66"/>
  <c r="E355" i="38"/>
  <c r="L27" i="66" s="1"/>
  <c r="H480" i="41"/>
  <c r="J486" i="58"/>
  <c r="M246" i="66"/>
  <c r="M103" i="74"/>
  <c r="Q103" i="74" s="1"/>
  <c r="J480" i="41"/>
  <c r="N54" i="74"/>
  <c r="F18" i="39"/>
  <c r="Z55" i="66"/>
  <c r="L8" i="74"/>
  <c r="AC8" i="74" s="1"/>
  <c r="AD8" i="74" s="1"/>
  <c r="L123" i="74"/>
  <c r="AB123" i="66"/>
  <c r="AC123" i="66" s="1"/>
  <c r="O123" i="66"/>
  <c r="O247" i="66"/>
  <c r="O55" i="74"/>
  <c r="P55" i="66"/>
  <c r="AB247" i="66"/>
  <c r="AC247" i="66" s="1"/>
  <c r="AC55" i="74"/>
  <c r="AD55" i="74" s="1"/>
  <c r="Z152" i="66"/>
  <c r="AA152" i="66"/>
  <c r="Z8" i="66"/>
  <c r="AA8" i="66"/>
  <c r="V199" i="66"/>
  <c r="R199" i="66"/>
  <c r="W199" i="66"/>
  <c r="Y199" i="66" s="1"/>
  <c r="AA55" i="66"/>
  <c r="AA56" i="74"/>
  <c r="Z56" i="74"/>
  <c r="O75" i="66"/>
  <c r="AB75" i="66"/>
  <c r="AC75" i="66" s="1"/>
  <c r="L75" i="74"/>
  <c r="Z199" i="66"/>
  <c r="Z104" i="66"/>
  <c r="M150" i="66"/>
  <c r="H486" i="58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H486" i="37"/>
  <c r="M6" i="66"/>
  <c r="Z248" i="66"/>
  <c r="M54" i="74"/>
  <c r="O54" i="66"/>
  <c r="AB54" i="66"/>
  <c r="AC54" i="66" s="1"/>
  <c r="Q54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Z7" i="66"/>
  <c r="Z151" i="66"/>
  <c r="AA151" i="66"/>
  <c r="P7" i="66"/>
  <c r="N6" i="66"/>
  <c r="N6" i="74" s="1"/>
  <c r="B20" i="8"/>
  <c r="AA248" i="66"/>
  <c r="N102" i="66"/>
  <c r="D20" i="8"/>
  <c r="AA7" i="66" l="1"/>
  <c r="O8" i="74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70" i="72"/>
  <c r="F70" i="72" s="1"/>
  <c r="O104" i="74"/>
  <c r="E131" i="72"/>
  <c r="F131" i="72" s="1"/>
  <c r="E38" i="72"/>
  <c r="F38" i="72" s="1"/>
  <c r="O103" i="74"/>
  <c r="AA103" i="74" s="1"/>
  <c r="Q54" i="74"/>
  <c r="AC54" i="74"/>
  <c r="AD54" i="74" s="1"/>
  <c r="O54" i="74"/>
  <c r="H486" i="41"/>
  <c r="AC103" i="74"/>
  <c r="AD103" i="74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R7" i="66"/>
  <c r="V7" i="66"/>
  <c r="W55" i="66"/>
  <c r="Y55" i="66" s="1"/>
  <c r="R55" i="66"/>
  <c r="V55" i="66"/>
  <c r="P103" i="74"/>
  <c r="R151" i="66"/>
  <c r="V151" i="66"/>
  <c r="AA55" i="74"/>
  <c r="P55" i="74"/>
  <c r="Z55" i="74"/>
  <c r="E163" i="72"/>
  <c r="F163" i="72" s="1"/>
  <c r="P247" i="66"/>
  <c r="AA103" i="66"/>
  <c r="Z247" i="66"/>
  <c r="AA247" i="66"/>
  <c r="Z103" i="66"/>
  <c r="P103" i="66"/>
  <c r="Q246" i="66"/>
  <c r="AB246" i="66"/>
  <c r="AC246" i="66" s="1"/>
  <c r="O246" i="66"/>
  <c r="O150" i="66"/>
  <c r="AB150" i="66"/>
  <c r="AC150" i="66" s="1"/>
  <c r="S150" i="66"/>
  <c r="U150" i="66" s="1"/>
  <c r="Q150" i="66"/>
  <c r="W150" i="66" s="1"/>
  <c r="Y150" i="66" s="1"/>
  <c r="Z267" i="66"/>
  <c r="Z123" i="66"/>
  <c r="AA267" i="66"/>
  <c r="AA123" i="66"/>
  <c r="P198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AB27" i="66"/>
  <c r="AC27" i="66" s="1"/>
  <c r="O27" i="66"/>
  <c r="L27" i="74"/>
  <c r="O123" i="74"/>
  <c r="AC123" i="74"/>
  <c r="AD123" i="74" s="1"/>
  <c r="N102" i="74"/>
  <c r="G18" i="39"/>
  <c r="Z8" i="74"/>
  <c r="AA8" i="74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AC7" i="74"/>
  <c r="AD7" i="74" s="1"/>
  <c r="AA54" i="66"/>
  <c r="AA198" i="66"/>
  <c r="P54" i="66"/>
  <c r="Z54" i="66"/>
  <c r="Z198" i="66"/>
  <c r="O75" i="74"/>
  <c r="AC75" i="74"/>
  <c r="AD75" i="74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O7" i="74"/>
  <c r="AA104" i="74"/>
  <c r="Z104" i="74"/>
  <c r="AA75" i="66"/>
  <c r="Z75" i="66"/>
  <c r="Z219" i="66"/>
  <c r="AA219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J486" i="41"/>
  <c r="E256" i="72"/>
  <c r="F256" i="72" s="1"/>
  <c r="M6" i="74"/>
  <c r="Q6" i="66"/>
  <c r="W6" i="66" s="1"/>
  <c r="Y6" i="66" s="1"/>
  <c r="O6" i="66"/>
  <c r="S6" i="66"/>
  <c r="U6" i="66" s="1"/>
  <c r="AB6" i="66"/>
  <c r="AC6" i="66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M102" i="74"/>
  <c r="Q102" i="66"/>
  <c r="AB102" i="66"/>
  <c r="AC102" i="66" s="1"/>
  <c r="O102" i="66"/>
  <c r="Z103" i="74" l="1"/>
  <c r="E132" i="72"/>
  <c r="F132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V55" i="74"/>
  <c r="W55" i="74"/>
  <c r="Y55" i="74" s="1"/>
  <c r="R55" i="74"/>
  <c r="P6" i="66"/>
  <c r="AA6" i="66"/>
  <c r="Z150" i="66"/>
  <c r="Z6" i="66"/>
  <c r="AA150" i="66"/>
  <c r="E71" i="72"/>
  <c r="F71" i="72" s="1"/>
  <c r="P246" i="66"/>
  <c r="E287" i="72"/>
  <c r="F287" i="72" s="1"/>
  <c r="Z75" i="74"/>
  <c r="AA75" i="74"/>
  <c r="R103" i="74"/>
  <c r="V103" i="74"/>
  <c r="W103" i="74"/>
  <c r="Y103" i="74" s="1"/>
  <c r="E7" i="72"/>
  <c r="F7" i="72" s="1"/>
  <c r="W103" i="66"/>
  <c r="Y103" i="66" s="1"/>
  <c r="V103" i="66"/>
  <c r="R103" i="66"/>
  <c r="P7" i="74"/>
  <c r="AA7" i="74"/>
  <c r="Z7" i="74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V54" i="66"/>
  <c r="R54" i="66"/>
  <c r="S54" i="66" s="1"/>
  <c r="U54" i="66" s="1"/>
  <c r="W54" i="66"/>
  <c r="Y54" i="66" s="1"/>
  <c r="AC27" i="74"/>
  <c r="AD27" i="74" s="1"/>
  <c r="O27" i="74"/>
  <c r="V247" i="66"/>
  <c r="W247" i="66"/>
  <c r="Y247" i="66" s="1"/>
  <c r="R247" i="66"/>
  <c r="V198" i="66"/>
  <c r="W198" i="66"/>
  <c r="Y198" i="66" s="1"/>
  <c r="R198" i="66"/>
  <c r="S198" i="66" s="1"/>
  <c r="U198" i="66" s="1"/>
  <c r="AA246" i="66"/>
  <c r="Z246" i="66"/>
  <c r="P102" i="66"/>
  <c r="AA102" i="66"/>
  <c r="Z102" i="66"/>
  <c r="Q102" i="74"/>
  <c r="AC102" i="74"/>
  <c r="AD102" i="74" s="1"/>
  <c r="O102" i="74"/>
  <c r="AA123" i="74"/>
  <c r="Z123" i="74"/>
  <c r="AA171" i="66"/>
  <c r="AA27" i="66"/>
  <c r="Z27" i="66"/>
  <c r="Z171" i="66"/>
  <c r="P150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01" i="72"/>
  <c r="F101" i="72" s="1"/>
  <c r="AA54" i="74"/>
  <c r="P54" i="74"/>
  <c r="Z54" i="74"/>
  <c r="S6" i="74"/>
  <c r="U6" i="74" s="1"/>
  <c r="Q6" i="74"/>
  <c r="W6" i="74" s="1"/>
  <c r="Y6" i="74" s="1"/>
  <c r="AC6" i="74"/>
  <c r="AD6" i="74" s="1"/>
  <c r="O6" i="74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V54" i="74"/>
  <c r="W54" i="74"/>
  <c r="Y54" i="74" s="1"/>
  <c r="R54" i="74"/>
  <c r="S54" i="74" s="1"/>
  <c r="U54" i="74" s="1"/>
  <c r="P102" i="74"/>
  <c r="AA102" i="74"/>
  <c r="Z102" i="74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Z27" i="74"/>
  <c r="AA27" i="74"/>
  <c r="V6" i="66"/>
  <c r="R6" i="66"/>
  <c r="P6" i="74"/>
  <c r="AA6" i="74"/>
  <c r="Z6" i="74"/>
  <c r="E40" i="72"/>
  <c r="F40" i="72" s="1"/>
  <c r="E133" i="72"/>
  <c r="F133" i="72" s="1"/>
  <c r="R102" i="66"/>
  <c r="S102" i="66" s="1"/>
  <c r="U102" i="66" s="1"/>
  <c r="W102" i="66"/>
  <c r="Y102" i="66" s="1"/>
  <c r="V102" i="66"/>
  <c r="E195" i="72"/>
  <c r="F195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V246" i="66"/>
  <c r="W246" i="66"/>
  <c r="Y246" i="66" s="1"/>
  <c r="R246" i="66"/>
  <c r="S246" i="66" s="1"/>
  <c r="U246" i="66" s="1"/>
  <c r="E226" i="72"/>
  <c r="F226" i="72" s="1"/>
  <c r="V150" i="66"/>
  <c r="R150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R7" i="74"/>
  <c r="V7" i="74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8" i="72"/>
  <c r="F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58" i="72"/>
  <c r="F258" i="72" s="1"/>
  <c r="E72" i="72"/>
  <c r="F7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65" i="72"/>
  <c r="F16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W102" i="74"/>
  <c r="Y102" i="74" s="1"/>
  <c r="V102" i="74"/>
  <c r="R102" i="74"/>
  <c r="S102" i="74" s="1"/>
  <c r="U102" i="74" s="1"/>
  <c r="E288" i="72"/>
  <c r="F288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R6" i="74"/>
  <c r="V6" i="74"/>
  <c r="G166" i="72" l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E227" i="72"/>
  <c r="F227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96" i="72"/>
  <c r="F196" i="72" s="1"/>
  <c r="E103" i="72"/>
  <c r="F103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4" i="72"/>
  <c r="F134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89" i="72"/>
  <c r="F289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73" i="72"/>
  <c r="F73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97" i="72"/>
  <c r="F197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5" i="72"/>
  <c r="F135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67" i="72"/>
  <c r="F167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43" i="72"/>
  <c r="F43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61" i="72"/>
  <c r="F261" i="72" s="1"/>
  <c r="E74" i="72"/>
  <c r="F7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6" i="72"/>
  <c r="F136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2" i="72"/>
  <c r="F12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91" i="72"/>
  <c r="F291" i="72" s="1"/>
  <c r="E106" i="72"/>
  <c r="F106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44" i="72"/>
  <c r="F44" i="72" s="1"/>
  <c r="E199" i="72"/>
  <c r="F19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31" i="72"/>
  <c r="F23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62" i="72"/>
  <c r="F262" i="72" s="1"/>
  <c r="E75" i="72"/>
  <c r="F75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45" i="72"/>
  <c r="F45" i="72" s="1"/>
  <c r="E200" i="72"/>
  <c r="F200" i="72" s="1"/>
  <c r="E263" i="72"/>
  <c r="F263" i="72" s="1"/>
  <c r="E138" i="72"/>
  <c r="F138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2" i="72"/>
  <c r="F232" i="72" s="1"/>
  <c r="E108" i="72"/>
  <c r="F108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94" i="72"/>
  <c r="F294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77" i="72"/>
  <c r="F7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1" i="72"/>
  <c r="F171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46" i="72"/>
  <c r="F46" i="72" s="1"/>
  <c r="E264" i="72"/>
  <c r="F264" i="72" s="1"/>
  <c r="E233" i="72"/>
  <c r="F233" i="72" s="1"/>
  <c r="E139" i="72"/>
  <c r="F13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5" i="72"/>
  <c r="F1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02" i="72" l="1"/>
  <c r="F202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2" i="72"/>
  <c r="F172" i="72" s="1"/>
  <c r="E110" i="72"/>
  <c r="F110" i="72" s="1"/>
  <c r="E295" i="72"/>
  <c r="F29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78" i="72"/>
  <c r="F7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40" i="72"/>
  <c r="F14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6" i="72"/>
  <c r="F16" i="72" s="1"/>
  <c r="E47" i="72"/>
  <c r="F47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66" i="72"/>
  <c r="F266" i="72" s="1"/>
  <c r="E79" i="72"/>
  <c r="F79" i="72" s="1"/>
  <c r="E296" i="72"/>
  <c r="F296" i="72" s="1"/>
  <c r="E203" i="72"/>
  <c r="F203" i="72" s="1"/>
  <c r="E173" i="72"/>
  <c r="F17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5" i="72"/>
  <c r="F235" i="72" s="1"/>
  <c r="E141" i="72" l="1"/>
  <c r="F141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2" i="72" l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13" i="72"/>
  <c r="F113" i="72" s="1"/>
  <c r="E80" i="72"/>
  <c r="F80" i="72" s="1"/>
  <c r="E297" i="72"/>
  <c r="F297" i="72" s="1"/>
  <c r="E49" i="72"/>
  <c r="F49" i="72" s="1"/>
  <c r="E18" i="72"/>
  <c r="F18" i="72" s="1"/>
  <c r="E267" i="72"/>
  <c r="F267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5" i="72"/>
  <c r="F20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37" i="72"/>
  <c r="F237" i="72" s="1"/>
  <c r="E175" i="72"/>
  <c r="F175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9" i="72"/>
  <c r="F19" i="72" s="1"/>
  <c r="E50" i="72"/>
  <c r="F50" i="72" s="1"/>
  <c r="E268" i="72"/>
  <c r="F268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06" i="72" l="1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38" i="72"/>
  <c r="F238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6" i="72"/>
  <c r="F176" i="72" s="1"/>
  <c r="E82" i="72"/>
  <c r="F82" i="72" s="1"/>
  <c r="E115" i="72"/>
  <c r="F115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99" i="72"/>
  <c r="F299" i="72" s="1"/>
  <c r="E144" i="72"/>
  <c r="F144" i="72" s="1"/>
  <c r="E269" i="72" l="1"/>
  <c r="F26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" i="72"/>
  <c r="F20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51" i="72"/>
  <c r="F5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07" i="72"/>
  <c r="F207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300" i="72"/>
  <c r="F300" i="72" s="1"/>
  <c r="E145" i="72"/>
  <c r="F14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77" i="72"/>
  <c r="F177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16" i="72"/>
  <c r="F116" i="72" s="1"/>
  <c r="E83" i="72"/>
  <c r="F83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1" i="72"/>
  <c r="F21" i="72" s="1"/>
  <c r="E270" i="72"/>
  <c r="F27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40" i="72"/>
  <c r="F240" i="72" s="1"/>
  <c r="E209" i="72" l="1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53" i="72"/>
  <c r="F53" i="72" s="1"/>
  <c r="E301" i="72"/>
  <c r="F301" i="72" s="1"/>
  <c r="E84" i="72"/>
  <c r="F84" i="72" s="1"/>
  <c r="E146" i="72"/>
  <c r="F14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17" i="72"/>
  <c r="F117" i="72" s="1"/>
  <c r="E178" i="72"/>
  <c r="F178" i="72" s="1"/>
  <c r="E22" i="72" l="1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271" i="72"/>
  <c r="F271" i="72" s="1"/>
  <c r="G272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118" i="72"/>
  <c r="H119" i="72" s="1"/>
  <c r="I120" i="72" s="1"/>
  <c r="J121" i="72" s="1"/>
  <c r="K122" i="72" s="1"/>
  <c r="L123" i="72" s="1"/>
  <c r="M124" i="72" s="1"/>
  <c r="N125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H273" i="72" l="1"/>
  <c r="I274" i="72" s="1"/>
  <c r="J275" i="72" s="1"/>
  <c r="K276" i="72" s="1"/>
  <c r="L277" i="72" s="1"/>
  <c r="M278" i="72" s="1"/>
  <c r="N279" i="72" s="1"/>
  <c r="O280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18" i="72"/>
  <c r="F118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147" i="72"/>
  <c r="F147" i="72" s="1"/>
  <c r="E179" i="72"/>
  <c r="F179" i="72" s="1"/>
  <c r="E23" i="72"/>
  <c r="F23" i="72" s="1"/>
  <c r="E211" i="72"/>
  <c r="F211" i="72" s="1"/>
  <c r="G119" i="72" l="1"/>
  <c r="H120" i="72" s="1"/>
  <c r="I121" i="72" s="1"/>
  <c r="J122" i="72" s="1"/>
  <c r="K123" i="72" s="1"/>
  <c r="L124" i="72" s="1"/>
  <c r="M125" i="72" s="1"/>
  <c r="E243" i="72"/>
  <c r="F243" i="72" s="1"/>
  <c r="G244" i="72" s="1"/>
  <c r="H245" i="72" s="1"/>
  <c r="I246" i="72" s="1"/>
  <c r="J247" i="72" s="1"/>
  <c r="K248" i="72" s="1"/>
  <c r="L249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G180" i="72"/>
  <c r="H181" i="72" s="1"/>
  <c r="I182" i="72" s="1"/>
  <c r="J183" i="72" s="1"/>
  <c r="K184" i="72" s="1"/>
  <c r="L185" i="72" s="1"/>
  <c r="M186" i="72" s="1"/>
  <c r="N187" i="72" s="1"/>
  <c r="E303" i="72"/>
  <c r="F303" i="72" s="1"/>
  <c r="E273" i="72"/>
  <c r="F273" i="72" s="1"/>
  <c r="G212" i="72"/>
  <c r="H213" i="72" s="1"/>
  <c r="I214" i="72" s="1"/>
  <c r="J215" i="72" s="1"/>
  <c r="K216" i="72" s="1"/>
  <c r="L217" i="72" s="1"/>
  <c r="M218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86" i="72"/>
  <c r="F86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119" i="72"/>
  <c r="F119" i="72" s="1"/>
  <c r="E56" i="72"/>
  <c r="F56" i="72" s="1"/>
  <c r="E212" i="72"/>
  <c r="F212" i="72" s="1"/>
  <c r="E244" i="72"/>
  <c r="F244" i="72" s="1"/>
  <c r="G274" i="72"/>
  <c r="H275" i="72" s="1"/>
  <c r="I276" i="72" s="1"/>
  <c r="J277" i="72" s="1"/>
  <c r="K278" i="72" s="1"/>
  <c r="L279" i="72" s="1"/>
  <c r="M280" i="72" s="1"/>
  <c r="G87" i="72"/>
  <c r="H88" i="72" s="1"/>
  <c r="I89" i="72" s="1"/>
  <c r="J90" i="72" s="1"/>
  <c r="K91" i="72" s="1"/>
  <c r="L92" i="72" s="1"/>
  <c r="M93" i="72" s="1"/>
  <c r="N94" i="72" s="1"/>
  <c r="G304" i="72"/>
  <c r="H305" i="72" s="1"/>
  <c r="I306" i="72" s="1"/>
  <c r="J307" i="72" s="1"/>
  <c r="K308" i="72" s="1"/>
  <c r="L309" i="72" s="1"/>
  <c r="M310" i="72" s="1"/>
  <c r="N311" i="72" s="1"/>
  <c r="E180" i="72"/>
  <c r="F180" i="72" s="1"/>
  <c r="E148" i="72"/>
  <c r="F148" i="72" s="1"/>
  <c r="E274" i="72" l="1"/>
  <c r="F274" i="72" s="1"/>
  <c r="G275" i="72" s="1"/>
  <c r="H276" i="72" s="1"/>
  <c r="I277" i="72" s="1"/>
  <c r="J278" i="72" s="1"/>
  <c r="K279" i="72" s="1"/>
  <c r="L280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120" i="72"/>
  <c r="H121" i="72" s="1"/>
  <c r="I122" i="72" s="1"/>
  <c r="J123" i="72" s="1"/>
  <c r="K124" i="72" s="1"/>
  <c r="L125" i="72" s="1"/>
  <c r="E87" i="72"/>
  <c r="F87" i="72" s="1"/>
  <c r="E25" i="72"/>
  <c r="F25" i="72" s="1"/>
  <c r="G149" i="72"/>
  <c r="H150" i="72" s="1"/>
  <c r="I151" i="72" s="1"/>
  <c r="J152" i="72" s="1"/>
  <c r="K153" i="72" s="1"/>
  <c r="L154" i="72" s="1"/>
  <c r="M155" i="72" s="1"/>
  <c r="N156" i="72" s="1"/>
  <c r="G181" i="72"/>
  <c r="H182" i="72" s="1"/>
  <c r="I183" i="72" s="1"/>
  <c r="J184" i="72" s="1"/>
  <c r="K185" i="72" s="1"/>
  <c r="L186" i="72" s="1"/>
  <c r="M187" i="72" s="1"/>
  <c r="G245" i="72"/>
  <c r="H246" i="72" s="1"/>
  <c r="I247" i="72" s="1"/>
  <c r="J248" i="72" s="1"/>
  <c r="K249" i="72" s="1"/>
  <c r="G213" i="72"/>
  <c r="H214" i="72" s="1"/>
  <c r="I215" i="72" s="1"/>
  <c r="J216" i="72" s="1"/>
  <c r="K217" i="72" s="1"/>
  <c r="L218" i="72" s="1"/>
  <c r="G57" i="72"/>
  <c r="H58" i="72" s="1"/>
  <c r="I59" i="72" s="1"/>
  <c r="J60" i="72" s="1"/>
  <c r="K61" i="72" s="1"/>
  <c r="L62" i="72" s="1"/>
  <c r="M63" i="72" s="1"/>
  <c r="E181" i="72" l="1"/>
  <c r="F181" i="72" s="1"/>
  <c r="G182" i="72" s="1"/>
  <c r="H183" i="72" s="1"/>
  <c r="I184" i="72" s="1"/>
  <c r="J185" i="72" s="1"/>
  <c r="K186" i="72" s="1"/>
  <c r="L187" i="72" s="1"/>
  <c r="E120" i="72"/>
  <c r="F120" i="72" s="1"/>
  <c r="E245" i="72"/>
  <c r="F245" i="72" s="1"/>
  <c r="E149" i="72"/>
  <c r="F149" i="72" s="1"/>
  <c r="E57" i="72"/>
  <c r="F57" i="72" s="1"/>
  <c r="E275" i="72"/>
  <c r="F275" i="72" s="1"/>
  <c r="G26" i="72"/>
  <c r="H27" i="72" s="1"/>
  <c r="I28" i="72" s="1"/>
  <c r="J29" i="72" s="1"/>
  <c r="K30" i="72" s="1"/>
  <c r="L31" i="72" s="1"/>
  <c r="M32" i="72" s="1"/>
  <c r="G88" i="72"/>
  <c r="H89" i="72" s="1"/>
  <c r="I90" i="72" s="1"/>
  <c r="J91" i="72" s="1"/>
  <c r="K92" i="72" s="1"/>
  <c r="L93" i="72" s="1"/>
  <c r="M94" i="72" s="1"/>
  <c r="E213" i="72"/>
  <c r="F213" i="72" s="1"/>
  <c r="E305" i="72"/>
  <c r="F305" i="72" s="1"/>
  <c r="E88" i="72" l="1"/>
  <c r="F88" i="72" s="1"/>
  <c r="G89" i="72" s="1"/>
  <c r="H90" i="72" s="1"/>
  <c r="I91" i="72" s="1"/>
  <c r="J92" i="72" s="1"/>
  <c r="K93" i="72" s="1"/>
  <c r="L94" i="72" s="1"/>
  <c r="G121" i="72"/>
  <c r="H122" i="72" s="1"/>
  <c r="I123" i="72" s="1"/>
  <c r="J124" i="72" s="1"/>
  <c r="K125" i="72" s="1"/>
  <c r="G306" i="72"/>
  <c r="H307" i="72" s="1"/>
  <c r="I308" i="72" s="1"/>
  <c r="J309" i="72" s="1"/>
  <c r="K310" i="72" s="1"/>
  <c r="L311" i="72" s="1"/>
  <c r="G214" i="72"/>
  <c r="H215" i="72" s="1"/>
  <c r="I216" i="72" s="1"/>
  <c r="J217" i="72" s="1"/>
  <c r="K218" i="72" s="1"/>
  <c r="E26" i="72"/>
  <c r="F26" i="72" s="1"/>
  <c r="G276" i="72"/>
  <c r="H277" i="72" s="1"/>
  <c r="I278" i="72" s="1"/>
  <c r="J279" i="72" s="1"/>
  <c r="K280" i="72" s="1"/>
  <c r="G58" i="72"/>
  <c r="H59" i="72" s="1"/>
  <c r="I60" i="72" s="1"/>
  <c r="J61" i="72" s="1"/>
  <c r="K62" i="72" s="1"/>
  <c r="L63" i="72" s="1"/>
  <c r="G150" i="72"/>
  <c r="H151" i="72" s="1"/>
  <c r="I152" i="72" s="1"/>
  <c r="J153" i="72" s="1"/>
  <c r="K154" i="72" s="1"/>
  <c r="L155" i="72" s="1"/>
  <c r="M156" i="72" s="1"/>
  <c r="E182" i="72"/>
  <c r="F182" i="72" s="1"/>
  <c r="G246" i="72"/>
  <c r="H247" i="72" s="1"/>
  <c r="I248" i="72" s="1"/>
  <c r="J249" i="72" s="1"/>
  <c r="E58" i="72" l="1"/>
  <c r="F58" i="72" s="1"/>
  <c r="G59" i="72" s="1"/>
  <c r="H60" i="72" s="1"/>
  <c r="I61" i="72" s="1"/>
  <c r="J62" i="72" s="1"/>
  <c r="K63" i="72" s="1"/>
  <c r="E150" i="72"/>
  <c r="F150" i="72" s="1"/>
  <c r="G151" i="72" s="1"/>
  <c r="H152" i="72" s="1"/>
  <c r="I153" i="72" s="1"/>
  <c r="J154" i="72" s="1"/>
  <c r="K155" i="72" s="1"/>
  <c r="L156" i="72" s="1"/>
  <c r="E121" i="72"/>
  <c r="F121" i="72" s="1"/>
  <c r="E276" i="72"/>
  <c r="F276" i="72" s="1"/>
  <c r="G27" i="72"/>
  <c r="H28" i="72" s="1"/>
  <c r="I29" i="72" s="1"/>
  <c r="J30" i="72" s="1"/>
  <c r="K31" i="72" s="1"/>
  <c r="L32" i="72" s="1"/>
  <c r="E246" i="72"/>
  <c r="F246" i="72" s="1"/>
  <c r="E89" i="72"/>
  <c r="F89" i="72" s="1"/>
  <c r="G183" i="72"/>
  <c r="H184" i="72" s="1"/>
  <c r="I185" i="72" s="1"/>
  <c r="J186" i="72" s="1"/>
  <c r="K187" i="72" s="1"/>
  <c r="E214" i="72"/>
  <c r="F214" i="72" s="1"/>
  <c r="E306" i="72"/>
  <c r="F306" i="72" s="1"/>
  <c r="G122" i="72" l="1"/>
  <c r="H123" i="72" s="1"/>
  <c r="I124" i="72" s="1"/>
  <c r="J125" i="72" s="1"/>
  <c r="E59" i="72"/>
  <c r="F59" i="72" s="1"/>
  <c r="G60" i="72" s="1"/>
  <c r="H61" i="72" s="1"/>
  <c r="I62" i="72" s="1"/>
  <c r="J63" i="72" s="1"/>
  <c r="G307" i="72"/>
  <c r="H308" i="72" s="1"/>
  <c r="I309" i="72" s="1"/>
  <c r="J310" i="72" s="1"/>
  <c r="K311" i="72" s="1"/>
  <c r="E151" i="72"/>
  <c r="F151" i="72" s="1"/>
  <c r="E183" i="72"/>
  <c r="F183" i="72" s="1"/>
  <c r="G90" i="72"/>
  <c r="H91" i="72" s="1"/>
  <c r="I92" i="72" s="1"/>
  <c r="J93" i="72" s="1"/>
  <c r="K94" i="72" s="1"/>
  <c r="G247" i="72"/>
  <c r="H248" i="72" s="1"/>
  <c r="I249" i="72" s="1"/>
  <c r="E27" i="72"/>
  <c r="F27" i="72" s="1"/>
  <c r="G215" i="72"/>
  <c r="H216" i="72" s="1"/>
  <c r="I217" i="72" s="1"/>
  <c r="J218" i="72" s="1"/>
  <c r="G277" i="72"/>
  <c r="H278" i="72" s="1"/>
  <c r="I279" i="72" s="1"/>
  <c r="J280" i="72" s="1"/>
  <c r="E277" i="72" l="1"/>
  <c r="F277" i="72" s="1"/>
  <c r="G278" i="72" s="1"/>
  <c r="H279" i="72" s="1"/>
  <c r="I280" i="72" s="1"/>
  <c r="E122" i="72"/>
  <c r="F122" i="72" s="1"/>
  <c r="E215" i="72"/>
  <c r="F215" i="72" s="1"/>
  <c r="G28" i="72"/>
  <c r="H29" i="72" s="1"/>
  <c r="I30" i="72" s="1"/>
  <c r="J31" i="72" s="1"/>
  <c r="K32" i="72" s="1"/>
  <c r="E247" i="72"/>
  <c r="F247" i="72" s="1"/>
  <c r="E90" i="72"/>
  <c r="F90" i="72" s="1"/>
  <c r="G184" i="72"/>
  <c r="H185" i="72" s="1"/>
  <c r="I186" i="72" s="1"/>
  <c r="J187" i="72" s="1"/>
  <c r="G152" i="72"/>
  <c r="H153" i="72" s="1"/>
  <c r="I154" i="72" s="1"/>
  <c r="J155" i="72" s="1"/>
  <c r="K156" i="72" s="1"/>
  <c r="E307" i="72"/>
  <c r="F307" i="72" s="1"/>
  <c r="E60" i="72"/>
  <c r="F60" i="72" s="1"/>
  <c r="G123" i="72" l="1"/>
  <c r="H124" i="72" s="1"/>
  <c r="I125" i="72" s="1"/>
  <c r="G91" i="72"/>
  <c r="H92" i="72" s="1"/>
  <c r="I93" i="72" s="1"/>
  <c r="J94" i="72" s="1"/>
  <c r="G248" i="72"/>
  <c r="H249" i="72" s="1"/>
  <c r="G308" i="72"/>
  <c r="H309" i="72" s="1"/>
  <c r="I310" i="72" s="1"/>
  <c r="J311" i="72" s="1"/>
  <c r="E152" i="72"/>
  <c r="F152" i="72" s="1"/>
  <c r="E28" i="72"/>
  <c r="F28" i="72" s="1"/>
  <c r="G216" i="72"/>
  <c r="H217" i="72" s="1"/>
  <c r="I218" i="72" s="1"/>
  <c r="G61" i="72"/>
  <c r="H62" i="72" s="1"/>
  <c r="I63" i="72" s="1"/>
  <c r="E184" i="72"/>
  <c r="F184" i="72" s="1"/>
  <c r="E278" i="72"/>
  <c r="F278" i="72" s="1"/>
  <c r="E123" i="72" l="1"/>
  <c r="F123" i="72" s="1"/>
  <c r="E216" i="72"/>
  <c r="F216" i="72" s="1"/>
  <c r="G29" i="72"/>
  <c r="H30" i="72" s="1"/>
  <c r="I31" i="72" s="1"/>
  <c r="J32" i="72" s="1"/>
  <c r="G153" i="72"/>
  <c r="H154" i="72" s="1"/>
  <c r="I155" i="72" s="1"/>
  <c r="J156" i="72" s="1"/>
  <c r="E308" i="72"/>
  <c r="F308" i="72" s="1"/>
  <c r="G185" i="72"/>
  <c r="H186" i="72" s="1"/>
  <c r="I187" i="72" s="1"/>
  <c r="E61" i="72"/>
  <c r="F61" i="72" s="1"/>
  <c r="E248" i="72"/>
  <c r="F248" i="72" s="1"/>
  <c r="G249" i="72" s="1"/>
  <c r="E249" i="72" s="1"/>
  <c r="F249" i="72" s="1"/>
  <c r="G279" i="72"/>
  <c r="H280" i="72" s="1"/>
  <c r="E91" i="72"/>
  <c r="F91" i="72" s="1"/>
  <c r="E279" i="72" l="1"/>
  <c r="F279" i="72" s="1"/>
  <c r="G280" i="72" s="1"/>
  <c r="E280" i="72" s="1"/>
  <c r="F280" i="72" s="1"/>
  <c r="E185" i="72"/>
  <c r="F185" i="72" s="1"/>
  <c r="G186" i="72" s="1"/>
  <c r="H187" i="72" s="1"/>
  <c r="G124" i="72"/>
  <c r="H125" i="72" s="1"/>
  <c r="G92" i="72"/>
  <c r="H93" i="72" s="1"/>
  <c r="I94" i="72" s="1"/>
  <c r="G62" i="72"/>
  <c r="H63" i="72" s="1"/>
  <c r="G309" i="72"/>
  <c r="H310" i="72" s="1"/>
  <c r="I311" i="72" s="1"/>
  <c r="E153" i="72"/>
  <c r="F153" i="72" s="1"/>
  <c r="E29" i="72"/>
  <c r="F29" i="72" s="1"/>
  <c r="G217" i="72"/>
  <c r="H218" i="72" s="1"/>
  <c r="E217" i="72" l="1"/>
  <c r="F217" i="72" s="1"/>
  <c r="G218" i="72" s="1"/>
  <c r="E218" i="72" s="1"/>
  <c r="F218" i="72" s="1"/>
  <c r="E124" i="72"/>
  <c r="F124" i="72" s="1"/>
  <c r="G125" i="72" s="1"/>
  <c r="E125" i="72" s="1"/>
  <c r="F125" i="72" s="1"/>
  <c r="AL125" i="72" s="1"/>
  <c r="G30" i="72"/>
  <c r="H31" i="72" s="1"/>
  <c r="I32" i="72" s="1"/>
  <c r="G154" i="72"/>
  <c r="H155" i="72" s="1"/>
  <c r="I156" i="72" s="1"/>
  <c r="E309" i="72"/>
  <c r="F309" i="72" s="1"/>
  <c r="E186" i="72"/>
  <c r="F186" i="72" s="1"/>
  <c r="G187" i="72" s="1"/>
  <c r="E187" i="72" s="1"/>
  <c r="F187" i="72" s="1"/>
  <c r="E62" i="72"/>
  <c r="F62" i="72" s="1"/>
  <c r="G63" i="72" s="1"/>
  <c r="E63" i="72" s="1"/>
  <c r="F63" i="72" s="1"/>
  <c r="AL63" i="72" s="1"/>
  <c r="E92" i="72"/>
  <c r="F92" i="72" s="1"/>
  <c r="G93" i="72" l="1"/>
  <c r="H94" i="72" s="1"/>
  <c r="G310" i="72"/>
  <c r="H311" i="72" s="1"/>
  <c r="E154" i="72"/>
  <c r="F154" i="72" s="1"/>
  <c r="E30" i="72"/>
  <c r="F30" i="72" s="1"/>
  <c r="G31" i="72" l="1"/>
  <c r="H32" i="72" s="1"/>
  <c r="G155" i="72"/>
  <c r="H156" i="72" s="1"/>
  <c r="E310" i="72"/>
  <c r="F310" i="72" s="1"/>
  <c r="G311" i="72" s="1"/>
  <c r="E311" i="72" s="1"/>
  <c r="F311" i="72" s="1"/>
  <c r="E93" i="72"/>
  <c r="F93" i="72" s="1"/>
  <c r="G94" i="72" s="1"/>
  <c r="E94" i="72" s="1"/>
  <c r="F94" i="72" s="1"/>
  <c r="AL94" i="72" s="1"/>
  <c r="AL127" i="72" s="1"/>
  <c r="E155" i="72" l="1"/>
  <c r="F155" i="72" s="1"/>
  <c r="G156" i="72" s="1"/>
  <c r="E156" i="72" s="1"/>
  <c r="F156" i="72" s="1"/>
  <c r="E31" i="72"/>
  <c r="F31" i="72" s="1"/>
  <c r="G32" i="72" l="1"/>
  <c r="E32" i="72" s="1"/>
  <c r="F32" i="72" s="1"/>
  <c r="AL32" i="72" s="1"/>
  <c r="H35" i="26" a="1"/>
  <c r="H35" i="26" s="1"/>
  <c r="F25" i="26" a="1"/>
  <c r="F25" i="26" s="1"/>
  <c r="G209" i="35" s="1"/>
  <c r="H24" i="26" a="1"/>
  <c r="H24" i="26" s="1"/>
  <c r="I208" i="35" s="1"/>
  <c r="H31" i="26" a="1"/>
  <c r="H31" i="26" s="1"/>
  <c r="H29" i="26" a="1"/>
  <c r="H29" i="26" s="1"/>
  <c r="I213" i="35" s="1"/>
  <c r="H37" i="26" a="1"/>
  <c r="H37" i="26" s="1"/>
  <c r="I221" i="35" s="1"/>
  <c r="H34" i="26" a="1"/>
  <c r="H34" i="26" s="1"/>
  <c r="I218" i="35" s="1"/>
  <c r="G38" i="26" a="1"/>
  <c r="G38" i="26" s="1"/>
  <c r="H222" i="35" s="1"/>
  <c r="H23" i="26" a="1"/>
  <c r="H23" i="26" s="1"/>
  <c r="D24" i="26" a="1"/>
  <c r="D24" i="26" s="1"/>
  <c r="H187" i="35" s="1"/>
  <c r="H26" i="26" a="1"/>
  <c r="H26" i="26" s="1"/>
  <c r="I210" i="35" s="1"/>
  <c r="H32" i="26" a="1"/>
  <c r="H32" i="26" s="1"/>
  <c r="I216" i="35" s="1"/>
  <c r="E41" i="26" a="1"/>
  <c r="E41" i="26" s="1"/>
  <c r="I204" i="35" s="1"/>
  <c r="E24" i="26" a="1"/>
  <c r="E24" i="26" s="1"/>
  <c r="I187" i="35" s="1"/>
  <c r="G33" i="26" a="1"/>
  <c r="G33" i="26" s="1"/>
  <c r="H217" i="35" s="1"/>
  <c r="G32" i="26" a="1"/>
  <c r="G32" i="26" s="1"/>
  <c r="H216" i="35" s="1"/>
  <c r="D41" i="26" a="1"/>
  <c r="D41" i="26" s="1"/>
  <c r="H204" i="35" s="1"/>
  <c r="E28" i="26" a="1"/>
  <c r="E28" i="26" s="1"/>
  <c r="I191" i="35" s="1"/>
  <c r="D37" i="26" a="1"/>
  <c r="D37" i="26" s="1"/>
  <c r="H200" i="35" s="1"/>
  <c r="E38" i="26" a="1"/>
  <c r="E38" i="26" s="1"/>
  <c r="I201" i="35" s="1"/>
  <c r="F39" i="26" a="1"/>
  <c r="F39" i="26" s="1"/>
  <c r="H25" i="26" a="1"/>
  <c r="H25" i="26" s="1"/>
  <c r="I209" i="35" s="1"/>
  <c r="E27" i="26" a="1"/>
  <c r="E27" i="26" s="1"/>
  <c r="H39" i="26" a="1"/>
  <c r="H39" i="26" s="1"/>
  <c r="D36" i="26" a="1"/>
  <c r="D36" i="26" s="1"/>
  <c r="H199" i="35" s="1"/>
  <c r="D33" i="26" a="1"/>
  <c r="D33" i="26" s="1"/>
  <c r="H196" i="35" s="1"/>
  <c r="E25" i="26" a="1"/>
  <c r="E25" i="26" s="1"/>
  <c r="I188" i="35" s="1"/>
  <c r="E42" i="26" a="1"/>
  <c r="E42" i="26" s="1"/>
  <c r="I205" i="35" s="1"/>
  <c r="G36" i="26" a="1"/>
  <c r="G36" i="26" s="1"/>
  <c r="H220" i="35" s="1"/>
  <c r="H42" i="26" a="1"/>
  <c r="H42" i="26" s="1"/>
  <c r="I226" i="35" s="1"/>
  <c r="G31" i="26" a="1"/>
  <c r="G31" i="26" s="1"/>
  <c r="D26" i="26" a="1"/>
  <c r="D26" i="26" s="1"/>
  <c r="H189" i="35" s="1"/>
  <c r="E26" i="26" a="1"/>
  <c r="E26" i="26" s="1"/>
  <c r="I189" i="35" s="1"/>
  <c r="G25" i="26" a="1"/>
  <c r="G25" i="26" s="1"/>
  <c r="H209" i="35" s="1"/>
  <c r="H33" i="26" a="1"/>
  <c r="H33" i="26" s="1"/>
  <c r="I217" i="35" s="1"/>
  <c r="E31" i="26" a="1"/>
  <c r="E31" i="26" s="1"/>
  <c r="F29" i="26" a="1"/>
  <c r="F29" i="26" s="1"/>
  <c r="G213" i="35" s="1"/>
  <c r="E23" i="26" a="1"/>
  <c r="E23" i="26" s="1"/>
  <c r="E29" i="26" a="1"/>
  <c r="E29" i="26" s="1"/>
  <c r="I192" i="35" s="1"/>
  <c r="E32" i="26" a="1"/>
  <c r="E32" i="26" s="1"/>
  <c r="I195" i="35" s="1"/>
  <c r="D39" i="26" a="1"/>
  <c r="D39" i="26" s="1"/>
  <c r="D32" i="26" a="1"/>
  <c r="D32" i="26" s="1"/>
  <c r="H195" i="35" s="1"/>
  <c r="F32" i="26" a="1"/>
  <c r="F32" i="26" s="1"/>
  <c r="G216" i="35" s="1"/>
  <c r="H27" i="26" a="1"/>
  <c r="H27" i="26" s="1"/>
  <c r="E35" i="26" a="1"/>
  <c r="E35" i="26" s="1"/>
  <c r="F28" i="26" a="1"/>
  <c r="F28" i="26" s="1"/>
  <c r="G212" i="35" s="1"/>
  <c r="D30" i="26" a="1"/>
  <c r="D30" i="26" s="1"/>
  <c r="H193" i="35" s="1"/>
  <c r="F27" i="26" a="1"/>
  <c r="F27" i="26" s="1"/>
  <c r="F26" i="26" a="1"/>
  <c r="F26" i="26" s="1"/>
  <c r="G210" i="35" s="1"/>
  <c r="G24" i="26" a="1"/>
  <c r="G24" i="26" s="1"/>
  <c r="H208" i="35" s="1"/>
  <c r="G29" i="26" a="1"/>
  <c r="G29" i="26" s="1"/>
  <c r="H213" i="35" s="1"/>
  <c r="F23" i="26" a="1"/>
  <c r="F23" i="26" s="1"/>
  <c r="D31" i="26" a="1"/>
  <c r="D31" i="26" s="1"/>
  <c r="F40" i="26" l="1" a="1"/>
  <c r="F40" i="26" s="1"/>
  <c r="G224" i="35" s="1"/>
  <c r="H83" i="58" s="1"/>
  <c r="H83" i="41" s="1"/>
  <c r="E37" i="26" a="1"/>
  <c r="E37" i="26" s="1"/>
  <c r="I200" i="35" s="1"/>
  <c r="F36" i="26" a="1"/>
  <c r="F36" i="26" s="1"/>
  <c r="G220" i="35" s="1"/>
  <c r="F38" i="26" a="1"/>
  <c r="F38" i="26" s="1"/>
  <c r="G222" i="35" s="1"/>
  <c r="H38" i="26" a="1"/>
  <c r="H38" i="26" s="1"/>
  <c r="I222" i="35" s="1"/>
  <c r="J78" i="58" s="1"/>
  <c r="E33" i="26" a="1"/>
  <c r="E33" i="26" s="1"/>
  <c r="I196" i="35" s="1"/>
  <c r="G37" i="26" a="1"/>
  <c r="G37" i="26" s="1"/>
  <c r="H221" i="35" s="1"/>
  <c r="F37" i="26" a="1"/>
  <c r="F37" i="26" s="1"/>
  <c r="G221" i="35" s="1"/>
  <c r="F41" i="26" a="1"/>
  <c r="F41" i="26" s="1"/>
  <c r="G225" i="35" s="1"/>
  <c r="G40" i="26" a="1"/>
  <c r="G40" i="26" s="1"/>
  <c r="H224" i="35" s="1"/>
  <c r="G28" i="26" a="1"/>
  <c r="G28" i="26" s="1"/>
  <c r="H212" i="35" s="1"/>
  <c r="I36" i="58" s="1"/>
  <c r="F30" i="26" a="1"/>
  <c r="F30" i="26" s="1"/>
  <c r="G214" i="35" s="1"/>
  <c r="H45" i="58" s="1"/>
  <c r="H45" i="41" s="1"/>
  <c r="G23" i="26" a="1"/>
  <c r="G23" i="26" s="1"/>
  <c r="H41" i="26" a="1"/>
  <c r="H41" i="26" s="1"/>
  <c r="I225" i="35" s="1"/>
  <c r="J89" i="58" s="1"/>
  <c r="H30" i="26" a="1"/>
  <c r="H30" i="26" s="1"/>
  <c r="I214" i="35" s="1"/>
  <c r="D25" i="26" a="1"/>
  <c r="D25" i="26" s="1"/>
  <c r="H188" i="35" s="1"/>
  <c r="I26" i="37" s="1"/>
  <c r="D38" i="26" a="1"/>
  <c r="D38" i="26" s="1"/>
  <c r="H201" i="35" s="1"/>
  <c r="I76" i="37" s="1"/>
  <c r="G35" i="26" a="1"/>
  <c r="G35" i="26" s="1"/>
  <c r="H219" i="35" s="1"/>
  <c r="D42" i="26" a="1"/>
  <c r="D42" i="26" s="1"/>
  <c r="H205" i="35" s="1"/>
  <c r="I93" i="37" s="1"/>
  <c r="F35" i="26" a="1"/>
  <c r="F35" i="26" s="1"/>
  <c r="G219" i="35" s="1"/>
  <c r="H36" i="26" a="1"/>
  <c r="H36" i="26" s="1"/>
  <c r="I220" i="35" s="1"/>
  <c r="J67" i="58" s="1"/>
  <c r="E40" i="26" a="1"/>
  <c r="E40" i="26" s="1"/>
  <c r="I203" i="35" s="1"/>
  <c r="J85" i="37" s="1"/>
  <c r="D34" i="26" a="1"/>
  <c r="D34" i="26" s="1"/>
  <c r="H197" i="35" s="1"/>
  <c r="I62" i="37" s="1"/>
  <c r="G26" i="26" a="1"/>
  <c r="G26" i="26" s="1"/>
  <c r="H210" i="35" s="1"/>
  <c r="I30" i="58" s="1"/>
  <c r="F33" i="26" a="1"/>
  <c r="F33" i="26" s="1"/>
  <c r="G217" i="35" s="1"/>
  <c r="H56" i="58" s="1"/>
  <c r="H56" i="41" s="1"/>
  <c r="D27" i="26" a="1"/>
  <c r="D27" i="26" s="1"/>
  <c r="H190" i="35" s="1"/>
  <c r="G39" i="26" a="1"/>
  <c r="G39" i="26" s="1"/>
  <c r="H223" i="35" s="1"/>
  <c r="G41" i="26" a="1"/>
  <c r="G41" i="26" s="1"/>
  <c r="H225" i="35" s="1"/>
  <c r="I87" i="58" s="1"/>
  <c r="G34" i="26" a="1"/>
  <c r="G34" i="26" s="1"/>
  <c r="H218" i="35" s="1"/>
  <c r="I62" i="58" s="1"/>
  <c r="D29" i="26" a="1"/>
  <c r="D29" i="26" s="1"/>
  <c r="H192" i="35" s="1"/>
  <c r="I42" i="37" s="1"/>
  <c r="D35" i="26" a="1"/>
  <c r="D35" i="26" s="1"/>
  <c r="E34" i="26" a="1"/>
  <c r="E34" i="26" s="1"/>
  <c r="I197" i="35" s="1"/>
  <c r="J59" i="37" s="1"/>
  <c r="F31" i="26" a="1"/>
  <c r="F31" i="26" s="1"/>
  <c r="G215" i="35" s="1"/>
  <c r="G42" i="26" a="1"/>
  <c r="G42" i="26" s="1"/>
  <c r="H226" i="35" s="1"/>
  <c r="I94" i="58" s="1"/>
  <c r="G30" i="26" a="1"/>
  <c r="G30" i="26" s="1"/>
  <c r="H214" i="35" s="1"/>
  <c r="I46" i="58" s="1"/>
  <c r="D40" i="26" a="1"/>
  <c r="D40" i="26" s="1"/>
  <c r="H203" i="35" s="1"/>
  <c r="I86" i="37" s="1"/>
  <c r="F24" i="26" a="1"/>
  <c r="F24" i="26" s="1"/>
  <c r="G208" i="35" s="1"/>
  <c r="H22" i="58" s="1"/>
  <c r="H22" i="41" s="1"/>
  <c r="D28" i="26" a="1"/>
  <c r="D28" i="26" s="1"/>
  <c r="H191" i="35" s="1"/>
  <c r="I37" i="37" s="1"/>
  <c r="G27" i="26" a="1"/>
  <c r="G27" i="26" s="1"/>
  <c r="H211" i="35" s="1"/>
  <c r="F42" i="26" a="1"/>
  <c r="F42" i="26" s="1"/>
  <c r="G226" i="35" s="1"/>
  <c r="H94" i="58" s="1"/>
  <c r="H94" i="41" s="1"/>
  <c r="H40" i="26" a="1"/>
  <c r="H40" i="26" s="1"/>
  <c r="I224" i="35" s="1"/>
  <c r="J84" i="58" s="1"/>
  <c r="F34" i="26" a="1"/>
  <c r="F34" i="26" s="1"/>
  <c r="G218" i="35" s="1"/>
  <c r="H62" i="58" s="1"/>
  <c r="H62" i="41" s="1"/>
  <c r="I20" i="58"/>
  <c r="I22" i="58"/>
  <c r="I19" i="58"/>
  <c r="I21" i="58"/>
  <c r="G211" i="35"/>
  <c r="I194" i="35"/>
  <c r="I223" i="35"/>
  <c r="J52" i="58"/>
  <c r="J51" i="58"/>
  <c r="J53" i="58"/>
  <c r="J54" i="58"/>
  <c r="I215" i="35"/>
  <c r="G52" i="26"/>
  <c r="J58" i="58"/>
  <c r="J56" i="58"/>
  <c r="J57" i="58"/>
  <c r="J55" i="58"/>
  <c r="I190" i="35"/>
  <c r="J30" i="58"/>
  <c r="J28" i="58"/>
  <c r="J29" i="58"/>
  <c r="J27" i="58"/>
  <c r="J22" i="58"/>
  <c r="J21" i="58"/>
  <c r="J20" i="58"/>
  <c r="J19" i="58"/>
  <c r="J45" i="58"/>
  <c r="J43" i="58"/>
  <c r="J44" i="58"/>
  <c r="J46" i="58"/>
  <c r="H37" i="58"/>
  <c r="H37" i="41" s="1"/>
  <c r="H35" i="58"/>
  <c r="H35" i="41" s="1"/>
  <c r="H36" i="58"/>
  <c r="H36" i="41" s="1"/>
  <c r="H38" i="58"/>
  <c r="H38" i="41" s="1"/>
  <c r="I24" i="58"/>
  <c r="I23" i="58"/>
  <c r="I25" i="58"/>
  <c r="I26" i="58"/>
  <c r="J26" i="58"/>
  <c r="J23" i="58"/>
  <c r="J25" i="58"/>
  <c r="J24" i="58"/>
  <c r="I20" i="37"/>
  <c r="I19" i="37"/>
  <c r="I21" i="37"/>
  <c r="I22" i="37"/>
  <c r="J55" i="37"/>
  <c r="J58" i="37"/>
  <c r="J56" i="37"/>
  <c r="J57" i="37"/>
  <c r="I24" i="37"/>
  <c r="I25" i="37"/>
  <c r="I23" i="37"/>
  <c r="I46" i="37"/>
  <c r="I44" i="37"/>
  <c r="I43" i="37"/>
  <c r="I45" i="37"/>
  <c r="I198" i="35"/>
  <c r="J29" i="37"/>
  <c r="J28" i="37"/>
  <c r="J30" i="37"/>
  <c r="J27" i="37"/>
  <c r="G223" i="35"/>
  <c r="G50" i="26"/>
  <c r="I207" i="35"/>
  <c r="H70" i="58"/>
  <c r="H70" i="41" s="1"/>
  <c r="H68" i="58"/>
  <c r="H68" i="41" s="1"/>
  <c r="H69" i="58"/>
  <c r="H69" i="41" s="1"/>
  <c r="H67" i="58"/>
  <c r="H67" i="41" s="1"/>
  <c r="H194" i="35"/>
  <c r="I211" i="35"/>
  <c r="I30" i="37"/>
  <c r="I29" i="37"/>
  <c r="I27" i="37"/>
  <c r="I28" i="37"/>
  <c r="J77" i="37"/>
  <c r="J78" i="37"/>
  <c r="J75" i="37"/>
  <c r="J76" i="37"/>
  <c r="I76" i="58"/>
  <c r="I78" i="58"/>
  <c r="I75" i="58"/>
  <c r="I77" i="58"/>
  <c r="H89" i="58"/>
  <c r="H89" i="41" s="1"/>
  <c r="H88" i="58"/>
  <c r="H88" i="41" s="1"/>
  <c r="H90" i="58"/>
  <c r="H90" i="41" s="1"/>
  <c r="H87" i="58"/>
  <c r="H87" i="41" s="1"/>
  <c r="J53" i="37"/>
  <c r="J54" i="37"/>
  <c r="J52" i="37"/>
  <c r="J51" i="37"/>
  <c r="H51" i="58"/>
  <c r="H51" i="41" s="1"/>
  <c r="H52" i="58"/>
  <c r="H52" i="41" s="1"/>
  <c r="H53" i="58"/>
  <c r="H53" i="41" s="1"/>
  <c r="H54" i="58"/>
  <c r="H54" i="41" s="1"/>
  <c r="H215" i="35"/>
  <c r="I72" i="37"/>
  <c r="I74" i="37"/>
  <c r="I71" i="37"/>
  <c r="I73" i="37"/>
  <c r="J60" i="58"/>
  <c r="J61" i="58"/>
  <c r="J59" i="58"/>
  <c r="J62" i="58"/>
  <c r="I74" i="58"/>
  <c r="I73" i="58"/>
  <c r="I72" i="58"/>
  <c r="I71" i="58"/>
  <c r="I54" i="37"/>
  <c r="I52" i="37"/>
  <c r="I51" i="37"/>
  <c r="I53" i="37"/>
  <c r="J94" i="58"/>
  <c r="J93" i="58"/>
  <c r="J92" i="58"/>
  <c r="J91" i="58"/>
  <c r="J37" i="37"/>
  <c r="J38" i="37"/>
  <c r="J35" i="37"/>
  <c r="J36" i="37"/>
  <c r="J74" i="58"/>
  <c r="J73" i="58"/>
  <c r="J71" i="58"/>
  <c r="J72" i="58"/>
  <c r="I83" i="58"/>
  <c r="I85" i="58"/>
  <c r="I84" i="58"/>
  <c r="I86" i="58"/>
  <c r="I219" i="35"/>
  <c r="H28" i="26" a="1"/>
  <c r="H28" i="26" s="1"/>
  <c r="I212" i="35" s="1"/>
  <c r="H202" i="35"/>
  <c r="I69" i="58"/>
  <c r="I68" i="58"/>
  <c r="I67" i="58"/>
  <c r="I70" i="58"/>
  <c r="I89" i="37"/>
  <c r="I87" i="37"/>
  <c r="I90" i="37"/>
  <c r="I88" i="37"/>
  <c r="E39" i="26" a="1"/>
  <c r="E39" i="26" s="1"/>
  <c r="G207" i="35"/>
  <c r="J93" i="37"/>
  <c r="J91" i="37"/>
  <c r="J94" i="37"/>
  <c r="J92" i="37"/>
  <c r="I51" i="58"/>
  <c r="I52" i="58"/>
  <c r="I54" i="58"/>
  <c r="I53" i="58"/>
  <c r="J40" i="58"/>
  <c r="J39" i="58"/>
  <c r="J41" i="58"/>
  <c r="J42" i="58"/>
  <c r="E36" i="26" a="1"/>
  <c r="E36" i="26" s="1"/>
  <c r="I199" i="35" s="1"/>
  <c r="J42" i="37"/>
  <c r="J41" i="37"/>
  <c r="J39" i="37"/>
  <c r="J40" i="37"/>
  <c r="J23" i="37"/>
  <c r="J25" i="37"/>
  <c r="J24" i="37"/>
  <c r="J26" i="37"/>
  <c r="I58" i="58"/>
  <c r="I57" i="58"/>
  <c r="I56" i="58"/>
  <c r="I55" i="58"/>
  <c r="H75" i="58"/>
  <c r="H75" i="41" s="1"/>
  <c r="H78" i="58"/>
  <c r="H78" i="41" s="1"/>
  <c r="H76" i="58"/>
  <c r="H76" i="41" s="1"/>
  <c r="H77" i="58"/>
  <c r="H77" i="41" s="1"/>
  <c r="H24" i="58"/>
  <c r="H24" i="41" s="1"/>
  <c r="H23" i="58"/>
  <c r="H23" i="41" s="1"/>
  <c r="H25" i="58"/>
  <c r="H25" i="41" s="1"/>
  <c r="H26" i="58"/>
  <c r="H26" i="41" s="1"/>
  <c r="D23" i="26" a="1"/>
  <c r="D23" i="26" s="1"/>
  <c r="I41" i="58"/>
  <c r="I39" i="58"/>
  <c r="I40" i="58"/>
  <c r="I42" i="58"/>
  <c r="I186" i="35"/>
  <c r="D50" i="26"/>
  <c r="I56" i="37"/>
  <c r="I58" i="37"/>
  <c r="I57" i="37"/>
  <c r="I55" i="37"/>
  <c r="J22" i="37"/>
  <c r="J20" i="37"/>
  <c r="J19" i="37"/>
  <c r="J21" i="37"/>
  <c r="J73" i="37"/>
  <c r="J72" i="37"/>
  <c r="J74" i="37"/>
  <c r="J71" i="37"/>
  <c r="H207" i="35"/>
  <c r="E30" i="26" a="1"/>
  <c r="E30" i="26" s="1"/>
  <c r="I193" i="35" s="1"/>
  <c r="H30" i="58"/>
  <c r="H30" i="41" s="1"/>
  <c r="H29" i="58"/>
  <c r="H29" i="41" s="1"/>
  <c r="H28" i="58"/>
  <c r="H28" i="41" s="1"/>
  <c r="H27" i="58"/>
  <c r="H27" i="41" s="1"/>
  <c r="H42" i="58"/>
  <c r="H42" i="41" s="1"/>
  <c r="H41" i="58"/>
  <c r="H41" i="41" s="1"/>
  <c r="H39" i="58"/>
  <c r="H39" i="41" s="1"/>
  <c r="H40" i="58"/>
  <c r="H40" i="41" s="1"/>
  <c r="I70" i="37"/>
  <c r="I68" i="37"/>
  <c r="I67" i="37"/>
  <c r="I69" i="37"/>
  <c r="J88" i="37"/>
  <c r="J90" i="37"/>
  <c r="J89" i="37"/>
  <c r="J87" i="37"/>
  <c r="H71" i="58"/>
  <c r="H71" i="41" s="1"/>
  <c r="H72" i="58"/>
  <c r="H72" i="41" s="1"/>
  <c r="H73" i="58"/>
  <c r="H73" i="41" s="1"/>
  <c r="H74" i="58"/>
  <c r="H74" i="41" s="1"/>
  <c r="J76" i="58" l="1"/>
  <c r="J77" i="58"/>
  <c r="J75" i="58"/>
  <c r="J90" i="58"/>
  <c r="J87" i="58"/>
  <c r="J87" i="41" s="1"/>
  <c r="J88" i="58"/>
  <c r="J88" i="41" s="1"/>
  <c r="H84" i="58"/>
  <c r="H84" i="41" s="1"/>
  <c r="H86" i="58"/>
  <c r="H86" i="41" s="1"/>
  <c r="H85" i="58"/>
  <c r="H85" i="41" s="1"/>
  <c r="I59" i="37"/>
  <c r="I38" i="58"/>
  <c r="I60" i="37"/>
  <c r="I37" i="58"/>
  <c r="I61" i="37"/>
  <c r="I35" i="58"/>
  <c r="C52" i="26"/>
  <c r="H44" i="58"/>
  <c r="H44" i="41" s="1"/>
  <c r="H43" i="58"/>
  <c r="H43" i="41" s="1"/>
  <c r="E51" i="26"/>
  <c r="H51" i="26" s="1"/>
  <c r="I40" i="37"/>
  <c r="I40" i="41" s="1"/>
  <c r="H46" i="58"/>
  <c r="H46" i="41" s="1"/>
  <c r="F50" i="26"/>
  <c r="I27" i="58"/>
  <c r="I28" i="58"/>
  <c r="I28" i="41" s="1"/>
  <c r="I29" i="58"/>
  <c r="I29" i="41" s="1"/>
  <c r="I41" i="37"/>
  <c r="I41" i="41" s="1"/>
  <c r="F53" i="26"/>
  <c r="I39" i="37"/>
  <c r="E53" i="26"/>
  <c r="H53" i="26" s="1"/>
  <c r="J62" i="37"/>
  <c r="J62" i="41" s="1"/>
  <c r="I92" i="58"/>
  <c r="I91" i="58"/>
  <c r="J84" i="37"/>
  <c r="J84" i="41" s="1"/>
  <c r="J83" i="37"/>
  <c r="I93" i="58"/>
  <c r="I93" i="41" s="1"/>
  <c r="J86" i="37"/>
  <c r="J61" i="37"/>
  <c r="J61" i="41" s="1"/>
  <c r="J60" i="37"/>
  <c r="J60" i="41" s="1"/>
  <c r="J70" i="58"/>
  <c r="G53" i="26"/>
  <c r="J69" i="58"/>
  <c r="J68" i="58"/>
  <c r="J89" i="41"/>
  <c r="I89" i="58"/>
  <c r="I89" i="41" s="1"/>
  <c r="I57" i="41"/>
  <c r="I77" i="37"/>
  <c r="I77" i="41" s="1"/>
  <c r="F52" i="26"/>
  <c r="I78" i="37"/>
  <c r="I78" i="41" s="1"/>
  <c r="I75" i="37"/>
  <c r="I75" i="41" s="1"/>
  <c r="I60" i="58"/>
  <c r="I61" i="58"/>
  <c r="I59" i="58"/>
  <c r="I59" i="41" s="1"/>
  <c r="C53" i="26"/>
  <c r="D52" i="26"/>
  <c r="J52" i="26" s="1"/>
  <c r="I92" i="37"/>
  <c r="I92" i="41" s="1"/>
  <c r="H58" i="58"/>
  <c r="H58" i="41" s="1"/>
  <c r="H198" i="35"/>
  <c r="I63" i="37" s="1"/>
  <c r="E50" i="26"/>
  <c r="H50" i="26" s="1"/>
  <c r="I91" i="37"/>
  <c r="H55" i="58"/>
  <c r="H55" i="41" s="1"/>
  <c r="I94" i="37"/>
  <c r="I94" i="41" s="1"/>
  <c r="H57" i="58"/>
  <c r="H57" i="41" s="1"/>
  <c r="I20" i="41"/>
  <c r="J53" i="41"/>
  <c r="I25" i="41"/>
  <c r="J58" i="41"/>
  <c r="I90" i="58"/>
  <c r="I90" i="41" s="1"/>
  <c r="F54" i="26"/>
  <c r="I88" i="58"/>
  <c r="I88" i="41" s="1"/>
  <c r="J19" i="41"/>
  <c r="I38" i="37"/>
  <c r="I38" i="41" s="1"/>
  <c r="I62" i="41"/>
  <c r="G54" i="26"/>
  <c r="H61" i="58"/>
  <c r="H61" i="41" s="1"/>
  <c r="I87" i="41"/>
  <c r="J57" i="41"/>
  <c r="J56" i="41"/>
  <c r="I36" i="37"/>
  <c r="I83" i="37"/>
  <c r="I83" i="41" s="1"/>
  <c r="J20" i="41"/>
  <c r="J22" i="41"/>
  <c r="E52" i="26"/>
  <c r="H52" i="26" s="1"/>
  <c r="J41" i="41"/>
  <c r="J94" i="41"/>
  <c r="J21" i="41"/>
  <c r="J85" i="58"/>
  <c r="J85" i="41" s="1"/>
  <c r="C54" i="26"/>
  <c r="I21" i="41"/>
  <c r="I35" i="37"/>
  <c r="I86" i="41"/>
  <c r="H60" i="58"/>
  <c r="H60" i="41" s="1"/>
  <c r="J55" i="41"/>
  <c r="J90" i="41"/>
  <c r="J74" i="41"/>
  <c r="I43" i="58"/>
  <c r="I43" i="41" s="1"/>
  <c r="J27" i="41"/>
  <c r="H20" i="58"/>
  <c r="H20" i="41" s="1"/>
  <c r="H93" i="58"/>
  <c r="H93" i="41" s="1"/>
  <c r="J71" i="41"/>
  <c r="C51" i="26"/>
  <c r="I84" i="37"/>
  <c r="I84" i="41" s="1"/>
  <c r="J23" i="41"/>
  <c r="H21" i="58"/>
  <c r="H21" i="41" s="1"/>
  <c r="H92" i="58"/>
  <c r="H92" i="41" s="1"/>
  <c r="H91" i="58"/>
  <c r="H91" i="41" s="1"/>
  <c r="J83" i="58"/>
  <c r="I85" i="37"/>
  <c r="I85" i="41" s="1"/>
  <c r="J24" i="41"/>
  <c r="I44" i="58"/>
  <c r="I44" i="41" s="1"/>
  <c r="H59" i="58"/>
  <c r="H59" i="41" s="1"/>
  <c r="J86" i="58"/>
  <c r="J30" i="41"/>
  <c r="I19" i="41"/>
  <c r="I68" i="41"/>
  <c r="J73" i="41"/>
  <c r="J25" i="41"/>
  <c r="I45" i="58"/>
  <c r="I45" i="41" s="1"/>
  <c r="H19" i="58"/>
  <c r="H19" i="41" s="1"/>
  <c r="I24" i="41"/>
  <c r="J54" i="41"/>
  <c r="F51" i="26"/>
  <c r="E54" i="26"/>
  <c r="H54" i="26" s="1"/>
  <c r="I22" i="41"/>
  <c r="J26" i="41"/>
  <c r="J59" i="41"/>
  <c r="J91" i="41"/>
  <c r="I53" i="41"/>
  <c r="I73" i="41"/>
  <c r="I27" i="41"/>
  <c r="I70" i="41"/>
  <c r="J93" i="41"/>
  <c r="J52" i="41"/>
  <c r="I71" i="41"/>
  <c r="I30" i="41"/>
  <c r="I67" i="41"/>
  <c r="J72" i="41"/>
  <c r="J50" i="26"/>
  <c r="I69" i="41"/>
  <c r="J29" i="41"/>
  <c r="I23" i="41"/>
  <c r="J92" i="41"/>
  <c r="I18" i="58"/>
  <c r="I16" i="58"/>
  <c r="I17" i="58"/>
  <c r="I15" i="58"/>
  <c r="J17" i="58"/>
  <c r="J16" i="58"/>
  <c r="J15" i="58"/>
  <c r="J18" i="58"/>
  <c r="I80" i="58"/>
  <c r="I81" i="58"/>
  <c r="I82" i="58"/>
  <c r="I79" i="58"/>
  <c r="J51" i="41"/>
  <c r="I58" i="41"/>
  <c r="I33" i="37"/>
  <c r="I34" i="37"/>
  <c r="I32" i="37"/>
  <c r="I31" i="37"/>
  <c r="I56" i="41"/>
  <c r="H18" i="58"/>
  <c r="H18" i="41" s="1"/>
  <c r="H16" i="58"/>
  <c r="H17" i="58"/>
  <c r="H15" i="58"/>
  <c r="I79" i="37"/>
  <c r="I79" i="41" s="1"/>
  <c r="I81" i="37"/>
  <c r="I82" i="37"/>
  <c r="I80" i="37"/>
  <c r="I51" i="41"/>
  <c r="I46" i="41"/>
  <c r="I202" i="35"/>
  <c r="D54" i="26"/>
  <c r="I52" i="41"/>
  <c r="I74" i="41"/>
  <c r="D51" i="26"/>
  <c r="J37" i="58"/>
  <c r="J37" i="41" s="1"/>
  <c r="J35" i="58"/>
  <c r="J35" i="41" s="1"/>
  <c r="J36" i="58"/>
  <c r="J36" i="41" s="1"/>
  <c r="J38" i="58"/>
  <c r="J38" i="41" s="1"/>
  <c r="I54" i="41"/>
  <c r="I72" i="41"/>
  <c r="H82" i="58"/>
  <c r="H82" i="41" s="1"/>
  <c r="H80" i="58"/>
  <c r="H80" i="41" s="1"/>
  <c r="H79" i="58"/>
  <c r="H79" i="41" s="1"/>
  <c r="H81" i="58"/>
  <c r="H81" i="41" s="1"/>
  <c r="I33" i="58"/>
  <c r="I31" i="58"/>
  <c r="I34" i="58"/>
  <c r="I32" i="58"/>
  <c r="J31" i="37"/>
  <c r="J34" i="37"/>
  <c r="J32" i="37"/>
  <c r="J33" i="37"/>
  <c r="J80" i="58"/>
  <c r="J82" i="58"/>
  <c r="J79" i="58"/>
  <c r="J81" i="58"/>
  <c r="J44" i="37"/>
  <c r="J44" i="41" s="1"/>
  <c r="J46" i="37"/>
  <c r="J46" i="41" s="1"/>
  <c r="J45" i="37"/>
  <c r="J45" i="41" s="1"/>
  <c r="J43" i="37"/>
  <c r="J43" i="41" s="1"/>
  <c r="G51" i="26"/>
  <c r="I50" i="58"/>
  <c r="I49" i="58"/>
  <c r="I48" i="58"/>
  <c r="I47" i="58"/>
  <c r="J33" i="58"/>
  <c r="J31" i="58"/>
  <c r="J32" i="58"/>
  <c r="J34" i="58"/>
  <c r="J48" i="37"/>
  <c r="J49" i="37"/>
  <c r="J47" i="37"/>
  <c r="J50" i="37"/>
  <c r="I49" i="37"/>
  <c r="I47" i="37"/>
  <c r="I48" i="37"/>
  <c r="I50" i="37"/>
  <c r="I76" i="41"/>
  <c r="J28" i="41"/>
  <c r="J16" i="37"/>
  <c r="J18" i="37"/>
  <c r="J17" i="37"/>
  <c r="J15" i="37"/>
  <c r="J40" i="41"/>
  <c r="J64" i="58"/>
  <c r="J65" i="58"/>
  <c r="J63" i="58"/>
  <c r="J66" i="58"/>
  <c r="I52" i="26"/>
  <c r="H33" i="58"/>
  <c r="H33" i="41" s="1"/>
  <c r="H32" i="58"/>
  <c r="H32" i="41" s="1"/>
  <c r="H31" i="58"/>
  <c r="H31" i="41" s="1"/>
  <c r="H34" i="58"/>
  <c r="H34" i="41" s="1"/>
  <c r="H186" i="35"/>
  <c r="C50" i="26"/>
  <c r="I50" i="26" s="1"/>
  <c r="J39" i="41"/>
  <c r="H64" i="58"/>
  <c r="H64" i="41" s="1"/>
  <c r="H63" i="58"/>
  <c r="H63" i="41" s="1"/>
  <c r="H65" i="58"/>
  <c r="H65" i="41" s="1"/>
  <c r="H66" i="58"/>
  <c r="H66" i="41" s="1"/>
  <c r="I39" i="41"/>
  <c r="J76" i="41"/>
  <c r="J65" i="37"/>
  <c r="J63" i="37"/>
  <c r="J64" i="37"/>
  <c r="J66" i="37"/>
  <c r="I36" i="41"/>
  <c r="J75" i="41"/>
  <c r="D53" i="26"/>
  <c r="J49" i="58"/>
  <c r="J50" i="58"/>
  <c r="J48" i="58"/>
  <c r="J47" i="58"/>
  <c r="I55" i="41"/>
  <c r="H48" i="58"/>
  <c r="H48" i="41" s="1"/>
  <c r="H49" i="58"/>
  <c r="H49" i="41" s="1"/>
  <c r="H50" i="58"/>
  <c r="H50" i="41" s="1"/>
  <c r="H47" i="58"/>
  <c r="H47" i="41" s="1"/>
  <c r="J42" i="41"/>
  <c r="I42" i="41"/>
  <c r="J78" i="41"/>
  <c r="I37" i="41"/>
  <c r="J67" i="37"/>
  <c r="J67" i="41" s="1"/>
  <c r="J70" i="37"/>
  <c r="J69" i="37"/>
  <c r="J68" i="37"/>
  <c r="I66" i="58"/>
  <c r="I65" i="58"/>
  <c r="I63" i="58"/>
  <c r="I64" i="58"/>
  <c r="J77" i="41"/>
  <c r="I26" i="41"/>
  <c r="I60" i="41" l="1"/>
  <c r="I35" i="41"/>
  <c r="I61" i="41"/>
  <c r="J69" i="41"/>
  <c r="J83" i="41"/>
  <c r="I53" i="26"/>
  <c r="J68" i="41"/>
  <c r="J53" i="26"/>
  <c r="J70" i="41"/>
  <c r="J86" i="41"/>
  <c r="I65" i="37"/>
  <c r="I65" i="41" s="1"/>
  <c r="I64" i="37"/>
  <c r="I64" i="41" s="1"/>
  <c r="I66" i="37"/>
  <c r="I66" i="41" s="1"/>
  <c r="I91" i="41"/>
  <c r="J64" i="41"/>
  <c r="J54" i="26"/>
  <c r="I54" i="26"/>
  <c r="J18" i="41"/>
  <c r="I47" i="41"/>
  <c r="I81" i="41"/>
  <c r="I51" i="26"/>
  <c r="I48" i="41"/>
  <c r="I50" i="41"/>
  <c r="I82" i="41"/>
  <c r="J63" i="41"/>
  <c r="J65" i="41"/>
  <c r="H17" i="41"/>
  <c r="C38" i="63"/>
  <c r="H16" i="41"/>
  <c r="J33" i="41"/>
  <c r="J79" i="37"/>
  <c r="J79" i="41" s="1"/>
  <c r="J80" i="37"/>
  <c r="J80" i="41" s="1"/>
  <c r="J82" i="37"/>
  <c r="J82" i="41" s="1"/>
  <c r="J81" i="37"/>
  <c r="J81" i="41" s="1"/>
  <c r="J32" i="41"/>
  <c r="I31" i="41"/>
  <c r="J423" i="58"/>
  <c r="J424" i="58"/>
  <c r="E35" i="53" s="1"/>
  <c r="F35" i="53" s="1"/>
  <c r="H29" i="53" s="1"/>
  <c r="J66" i="41"/>
  <c r="I18" i="37"/>
  <c r="I18" i="41" s="1"/>
  <c r="I16" i="37"/>
  <c r="I16" i="41" s="1"/>
  <c r="I15" i="37"/>
  <c r="I17" i="37"/>
  <c r="I63" i="41"/>
  <c r="J34" i="41"/>
  <c r="I32" i="41"/>
  <c r="I49" i="41"/>
  <c r="J31" i="41"/>
  <c r="I34" i="41"/>
  <c r="C58" i="63"/>
  <c r="J15" i="41"/>
  <c r="J50" i="41"/>
  <c r="I80" i="41"/>
  <c r="I33" i="41"/>
  <c r="J17" i="41"/>
  <c r="J47" i="41"/>
  <c r="I423" i="58"/>
  <c r="I424" i="58"/>
  <c r="G242" i="66" s="1"/>
  <c r="J49" i="41"/>
  <c r="C48" i="63"/>
  <c r="J16" i="41"/>
  <c r="J48" i="41"/>
  <c r="J51" i="26"/>
  <c r="H15" i="41"/>
  <c r="H423" i="58"/>
  <c r="H424" i="58"/>
  <c r="H424" i="41" s="1"/>
  <c r="E23" i="53" l="1"/>
  <c r="F23" i="53" s="1"/>
  <c r="H17" i="53" s="1"/>
  <c r="J423" i="37"/>
  <c r="J424" i="37"/>
  <c r="J424" i="41" s="1"/>
  <c r="C28" i="63"/>
  <c r="I17" i="41"/>
  <c r="C18" i="63"/>
  <c r="I15" i="41"/>
  <c r="I423" i="37"/>
  <c r="I424" i="37"/>
  <c r="I424" i="41" s="1"/>
  <c r="I425" i="58"/>
  <c r="E323" i="38"/>
  <c r="N243" i="66" s="1"/>
  <c r="G243" i="66"/>
  <c r="G194" i="66"/>
  <c r="E299" i="38"/>
  <c r="N195" i="66" s="1"/>
  <c r="N51" i="74" s="1"/>
  <c r="H423" i="41"/>
  <c r="G195" i="66"/>
  <c r="H425" i="58"/>
  <c r="J425" i="58"/>
  <c r="E347" i="38"/>
  <c r="N291" i="66" s="1"/>
  <c r="G291" i="66"/>
  <c r="E11" i="53"/>
  <c r="F11" i="53" s="1"/>
  <c r="G290" i="66"/>
  <c r="J425" i="37" l="1"/>
  <c r="J425" i="41" s="1"/>
  <c r="O3" i="41" s="1"/>
  <c r="AB243" i="66"/>
  <c r="AC243" i="66" s="1"/>
  <c r="E29" i="53"/>
  <c r="F29" i="53" s="1"/>
  <c r="G29" i="53" s="1"/>
  <c r="E329" i="38" s="1"/>
  <c r="G98" i="66"/>
  <c r="G98" i="74" s="1"/>
  <c r="J423" i="41"/>
  <c r="E335" i="38"/>
  <c r="N147" i="66" s="1"/>
  <c r="N147" i="74" s="1"/>
  <c r="G147" i="66"/>
  <c r="G147" i="74" s="1"/>
  <c r="G146" i="66"/>
  <c r="G146" i="74" s="1"/>
  <c r="C49" i="63"/>
  <c r="C42" i="63"/>
  <c r="C52" i="63"/>
  <c r="C59" i="63"/>
  <c r="E17" i="53"/>
  <c r="F17" i="53" s="1"/>
  <c r="H425" i="41"/>
  <c r="M3" i="41" s="1"/>
  <c r="C39" i="63"/>
  <c r="C32" i="63"/>
  <c r="I425" i="37"/>
  <c r="E311" i="38"/>
  <c r="N99" i="66" s="1"/>
  <c r="N99" i="74" s="1"/>
  <c r="I423" i="41"/>
  <c r="G99" i="66"/>
  <c r="AB195" i="66"/>
  <c r="AC195" i="66" s="1"/>
  <c r="O195" i="66"/>
  <c r="G51" i="74"/>
  <c r="G50" i="74"/>
  <c r="O243" i="66"/>
  <c r="H5" i="53"/>
  <c r="G5" i="53" s="1"/>
  <c r="E281" i="38" s="1"/>
  <c r="G11" i="53"/>
  <c r="E293" i="38" s="1"/>
  <c r="AB291" i="66"/>
  <c r="AC291" i="66" s="1"/>
  <c r="O291" i="66"/>
  <c r="C29" i="63"/>
  <c r="C22" i="63"/>
  <c r="AB147" i="66" l="1"/>
  <c r="AC147" i="66" s="1"/>
  <c r="H35" i="53"/>
  <c r="G35" i="53" s="1"/>
  <c r="E341" i="38" s="1"/>
  <c r="J484" i="58" s="1"/>
  <c r="O147" i="66"/>
  <c r="Z147" i="66" s="1"/>
  <c r="M146" i="66"/>
  <c r="J484" i="37"/>
  <c r="AC51" i="74"/>
  <c r="AD51" i="74" s="1"/>
  <c r="O51" i="74"/>
  <c r="Z51" i="66"/>
  <c r="AA51" i="66"/>
  <c r="Z195" i="66"/>
  <c r="AA195" i="66"/>
  <c r="O147" i="74"/>
  <c r="AC147" i="74"/>
  <c r="AD147" i="74" s="1"/>
  <c r="H484" i="58"/>
  <c r="M194" i="66"/>
  <c r="G99" i="74"/>
  <c r="AB99" i="66"/>
  <c r="AC99" i="66" s="1"/>
  <c r="O99" i="66"/>
  <c r="H23" i="53"/>
  <c r="G23" i="53" s="1"/>
  <c r="E317" i="38" s="1"/>
  <c r="G17" i="53"/>
  <c r="E305" i="38" s="1"/>
  <c r="H484" i="37"/>
  <c r="M50" i="66"/>
  <c r="I425" i="41"/>
  <c r="N3" i="41" s="1"/>
  <c r="C19" i="63"/>
  <c r="C12" i="63"/>
  <c r="AA291" i="66" l="1"/>
  <c r="AA147" i="66"/>
  <c r="M290" i="66"/>
  <c r="M146" i="74" s="1"/>
  <c r="Z291" i="66"/>
  <c r="J484" i="41"/>
  <c r="H484" i="41"/>
  <c r="Q194" i="66"/>
  <c r="W194" i="66" s="1"/>
  <c r="Y194" i="66" s="1"/>
  <c r="S194" i="66"/>
  <c r="U194" i="66" s="1"/>
  <c r="O194" i="66"/>
  <c r="AB194" i="66"/>
  <c r="AC194" i="66" s="1"/>
  <c r="Z51" i="74"/>
  <c r="AA51" i="74"/>
  <c r="O99" i="74"/>
  <c r="AC99" i="74"/>
  <c r="AD99" i="74" s="1"/>
  <c r="AA147" i="74"/>
  <c r="Z147" i="74"/>
  <c r="Q146" i="66"/>
  <c r="AB146" i="66"/>
  <c r="AC146" i="66" s="1"/>
  <c r="O146" i="66"/>
  <c r="M98" i="66"/>
  <c r="I484" i="37"/>
  <c r="M242" i="66"/>
  <c r="I484" i="58"/>
  <c r="AB50" i="66"/>
  <c r="AC50" i="66" s="1"/>
  <c r="M50" i="74"/>
  <c r="S50" i="66"/>
  <c r="U50" i="66" s="1"/>
  <c r="O50" i="66"/>
  <c r="Q50" i="66"/>
  <c r="W50" i="66" s="1"/>
  <c r="Y50" i="66" s="1"/>
  <c r="AA99" i="66"/>
  <c r="Z99" i="66"/>
  <c r="Z243" i="66"/>
  <c r="AA243" i="66"/>
  <c r="AE1" i="66" l="1"/>
  <c r="O290" i="66"/>
  <c r="P290" i="66" s="1"/>
  <c r="V290" i="66" s="1"/>
  <c r="AB290" i="66"/>
  <c r="AC290" i="66" s="1"/>
  <c r="AE3" i="66" s="1"/>
  <c r="Q290" i="66"/>
  <c r="Q146" i="74"/>
  <c r="O146" i="74"/>
  <c r="AC146" i="74"/>
  <c r="AD146" i="74" s="1"/>
  <c r="AF3" i="74" s="1"/>
  <c r="Q50" i="74"/>
  <c r="W50" i="74" s="1"/>
  <c r="Y50" i="74" s="1"/>
  <c r="S50" i="74"/>
  <c r="U50" i="74" s="1"/>
  <c r="AC50" i="74"/>
  <c r="AD50" i="74" s="1"/>
  <c r="AF1" i="74" s="1"/>
  <c r="O50" i="74"/>
  <c r="Q242" i="66"/>
  <c r="AB242" i="66"/>
  <c r="AC242" i="66" s="1"/>
  <c r="O242" i="66"/>
  <c r="I484" i="41"/>
  <c r="Z99" i="74"/>
  <c r="AA99" i="74"/>
  <c r="Q98" i="66"/>
  <c r="M98" i="74"/>
  <c r="AB98" i="66"/>
  <c r="AC98" i="66" s="1"/>
  <c r="O98" i="66"/>
  <c r="P194" i="66"/>
  <c r="AA194" i="66"/>
  <c r="Z50" i="66"/>
  <c r="Z194" i="66"/>
  <c r="AA50" i="66"/>
  <c r="P50" i="66"/>
  <c r="AA146" i="66" l="1"/>
  <c r="Z146" i="66"/>
  <c r="Z290" i="66"/>
  <c r="P146" i="66"/>
  <c r="R146" i="66" s="1"/>
  <c r="S146" i="66" s="1"/>
  <c r="U146" i="66" s="1"/>
  <c r="AA290" i="66"/>
  <c r="W290" i="66"/>
  <c r="Y290" i="66" s="1"/>
  <c r="R290" i="66"/>
  <c r="S290" i="66" s="1"/>
  <c r="U290" i="66" s="1"/>
  <c r="AE2" i="66"/>
  <c r="V50" i="66"/>
  <c r="R50" i="66"/>
  <c r="P50" i="74"/>
  <c r="Z50" i="74"/>
  <c r="AA50" i="74"/>
  <c r="V194" i="66"/>
  <c r="R194" i="66"/>
  <c r="P242" i="66"/>
  <c r="Z242" i="66"/>
  <c r="AA242" i="66"/>
  <c r="Z98" i="66"/>
  <c r="P98" i="66"/>
  <c r="AA98" i="66"/>
  <c r="Q98" i="74"/>
  <c r="O98" i="74"/>
  <c r="AC98" i="74"/>
  <c r="AD98" i="74" s="1"/>
  <c r="AF2" i="74" s="1"/>
  <c r="AA146" i="74"/>
  <c r="P146" i="74"/>
  <c r="Z146" i="74"/>
  <c r="W146" i="66" l="1"/>
  <c r="Y146" i="66" s="1"/>
  <c r="V146" i="66"/>
  <c r="W242" i="66"/>
  <c r="Y242" i="66" s="1"/>
  <c r="R242" i="66"/>
  <c r="S242" i="66" s="1"/>
  <c r="U242" i="66" s="1"/>
  <c r="V242" i="66"/>
  <c r="W146" i="74"/>
  <c r="Y146" i="74" s="1"/>
  <c r="R146" i="74"/>
  <c r="S146" i="74" s="1"/>
  <c r="U146" i="74" s="1"/>
  <c r="V146" i="74"/>
  <c r="AA98" i="74"/>
  <c r="P98" i="74"/>
  <c r="Z98" i="74"/>
  <c r="R50" i="74"/>
  <c r="V50" i="74"/>
  <c r="W98" i="66"/>
  <c r="Y98" i="66" s="1"/>
  <c r="R98" i="66"/>
  <c r="S98" i="66" s="1"/>
  <c r="U98" i="66" s="1"/>
  <c r="V98" i="66"/>
  <c r="W98" i="74" l="1"/>
  <c r="Y98" i="74" s="1"/>
  <c r="R98" i="74"/>
  <c r="S98" i="74" s="1"/>
  <c r="U98" i="74" s="1"/>
  <c r="V98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<sst xmlns="http://schemas.openxmlformats.org/spreadsheetml/2006/main" count="4977" uniqueCount="378">
  <si>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</si>
  <si>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</si>
  <si>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</si>
  <si>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</si>
  <si>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</si>
  <si>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</si>
  <si>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</si>
  <si>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</si>
  <si>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</si>
  <si>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</si>
  <si>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</si>
  <si>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</si>
  <si>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</si>
  <si>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</si>
  <si>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</si>
  <si>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</si>
  <si>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</si>
  <si>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</si>
  <si>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</si>
  <si>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</si>
  <si>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</si>
  <si>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</si>
  <si>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</si>
  <si>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</si>
  <si>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</si>
  <si>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</si>
  <si>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</si>
  <si>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</si>
  <si>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</si>
  <si>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</si>
  <si>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</si>
  <si>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</si>
  <si>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</si>
  <si>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</si>
  <si>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</si>
  <si>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</si>
  <si>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</si>
  <si>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</si>
  <si>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</si>
  <si>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</si>
  <si>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</si>
  <si>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</si>
  <si>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</si>
  <si>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</si>
  <si>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</si>
  <si>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</si>
  <si>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</si>
  <si>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</si>
  <si>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</si>
  <si>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</si>
  <si>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</si>
  <si>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</si>
  <si>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</si>
  <si>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</si>
  <si>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</si>
  <si>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</si>
  <si>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</si>
  <si>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</si>
  <si>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</si>
  <si>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</si>
  <si>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</si>
  <si>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</si>
  <si>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</si>
  <si>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</si>
  <si>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</si>
  <si>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</si>
  <si>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</si>
  <si>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</si>
  <si>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</si>
  <si>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</si>
  <si>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</si>
  <si>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</si>
  <si>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</si>
  <si>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</si>
  <si>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</si>
  <si>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</si>
  <si>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</si>
  <si>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</si>
  <si>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</si>
  <si>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</si>
  <si>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</si>
  <si>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</si>
  <si>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</si>
  <si>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</si>
  <si>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</si>
  <si>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</si>
  <si>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</si>
  <si>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</si>
  <si>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</si>
  <si>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</si>
  <si>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</si>
  <si>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</si>
  <si>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</si>
  <si>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</si>
  <si>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</si>
  <si>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</si>
  <si>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</si>
  <si>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</si>
  <si>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</si>
  <si>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</si>
  <si>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</si>
  <si>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</si>
  <si>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</si>
  <si>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</si>
  <si>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</si>
  <si>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</si>
  <si>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</si>
  <si>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</si>
  <si>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</si>
  <si>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</si>
  <si>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</si>
  <si>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</si>
  <si>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</si>
  <si>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</si>
  <si>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</si>
  <si>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</si>
  <si>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</si>
  <si>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</si>
  <si>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</si>
  <si>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</si>
  <si>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</si>
  <si>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</si>
  <si>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</si>
  <si>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</si>
  <si>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</si>
  <si>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</si>
  <si>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</si>
  <si>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</si>
  <si>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</si>
  <si>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</si>
  <si>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</si>
  <si>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</si>
  <si>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</si>
  <si>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</si>
  <si>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</si>
  <si>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</si>
  <si>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</si>
  <si>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</si>
  <si>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</si>
  <si>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</si>
  <si>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</si>
  <si>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</si>
  <si>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</si>
  <si>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</si>
  <si>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</si>
  <si>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</si>
  <si>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</si>
  <si>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</si>
  <si>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</si>
  <si>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</si>
  <si>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</si>
  <si>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</si>
  <si>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</si>
  <si>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</si>
  <si>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</si>
  <si>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</si>
  <si>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</si>
  <si>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</si>
  <si>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</si>
  <si>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</si>
  <si>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</si>
  <si>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</si>
  <si>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</si>
  <si>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</si>
  <si>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</si>
  <si>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</si>
  <si>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</si>
  <si>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</si>
  <si>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</si>
  <si>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</si>
  <si>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</si>
  <si>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</si>
  <si>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</si>
  <si>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</si>
  <si>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</si>
  <si>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</si>
  <si>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</si>
  <si>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</si>
  <si>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</si>
  <si>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</si>
  <si>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</si>
  <si>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</si>
  <si>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</si>
  <si>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</si>
  <si>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</si>
  <si>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</si>
  <si>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</si>
  <si>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</si>
  <si>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</si>
  <si>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</si>
  <si>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</si>
  <si>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</si>
  <si>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</si>
  <si>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</si>
  <si>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</si>
  <si>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</si>
  <si>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</si>
  <si>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</si>
  <si>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</si>
  <si>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</si>
  <si>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</si>
  <si>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</si>
  <si>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</si>
  <si>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</si>
  <si>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</si>
  <si>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</si>
  <si>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</si>
  <si>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</si>
  <si>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</si>
  <si>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</si>
  <si>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</si>
  <si>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</si>
  <si>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</si>
  <si>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</si>
  <si>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</si>
  <si>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</si>
  <si>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</si>
  <si>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</si>
  <si>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</si>
  <si>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</si>
  <si>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</si>
  <si>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</si>
  <si>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</si>
  <si>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</si>
  <si>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</si>
  <si>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</si>
  <si>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</si>
  <si>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</si>
  <si>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</si>
  <si>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</si>
  <si>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</si>
  <si>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</si>
  <si>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</si>
  <si>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</si>
  <si>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</si>
  <si>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</si>
  <si>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</si>
  <si>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</si>
  <si>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</si>
  <si>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</si>
  <si>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</si>
  <si>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</si>
  <si>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</si>
  <si>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</si>
  <si>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</si>
  <si>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</si>
  <si>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</si>
  <si>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</si>
  <si>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</si>
  <si>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</si>
  <si>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</si>
  <si>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</si>
  <si>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</si>
  <si>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</si>
  <si>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</si>
  <si>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</si>
  <si>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</si>
  <si>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</si>
  <si>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</si>
  <si>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</si>
  <si>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</si>
  <si>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</si>
  <si>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</si>
  <si>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</si>
  <si>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</si>
  <si>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</si>
  <si>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</si>
  <si>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</si>
  <si>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</si>
  <si>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</si>
  <si>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</si>
  <si>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</si>
  <si>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</si>
  <si>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</si>
  <si>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</si>
  <si>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</si>
  <si>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</si>
  <si>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</si>
  <si>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</si>
  <si>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</si>
  <si>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</si>
  <si>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</si>
  <si>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</si>
  <si>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</si>
  <si>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</si>
  <si>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</si>
  <si>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</si>
  <si>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</si>
  <si>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</si>
  <si>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</si>
  <si>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</si>
  <si>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</si>
  <si>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</si>
  <si>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</si>
  <si>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</si>
  <si>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</si>
  <si>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</si>
  <si>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</si>
  <si>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</si>
  <si>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</si>
  <si>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</si>
  <si>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</si>
  <si>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</si>
  <si>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</si>
  <si>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</si>
  <si>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</si>
  <si>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</si>
  <si>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</si>
  <si>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</si>
  <si>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</si>
  <si>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</si>
  <si>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</si>
  <si>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</si>
  <si>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</si>
  <si>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</si>
  <si>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</si>
  <si>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</si>
  <si>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</si>
  <si>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</si>
  <si>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</si>
  <si>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</si>
  <si>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</si>
  <si>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</si>
  <si>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</si>
  <si>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</si>
  <si>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</si>
  <si>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</si>
  <si>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</si>
  <si>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</si>
  <si>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</si>
  <si>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</si>
  <si>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</si>
  <si>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</si>
  <si>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</si>
  <si>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</si>
  <si>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</si>
  <si>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</si>
  <si>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</si>
  <si>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</si>
  <si>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</si>
  <si>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</si>
  <si>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</si>
  <si>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</si>
  <si>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</si>
  <si>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</si>
  <si>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</si>
  <si>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</si>
  <si>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</si>
  <si>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</si>
  <si>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</si>
  <si>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</si>
  <si>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</si>
  <si>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</si>
  <si>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</si>
  <si>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</si>
  <si>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</si>
  <si>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</si>
  <si>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</si>
  <si>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</si>
  <si>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</si>
  <si>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</si>
  <si>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</si>
  <si>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</si>
  <si>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</si>
  <si>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</si>
  <si>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</si>
  <si>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</si>
  <si>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Rapport</t>
  </si>
  <si>
    <t>Fisk mm</t>
  </si>
  <si>
    <t>Olieafgrøder</t>
  </si>
  <si>
    <t>Model</t>
  </si>
  <si>
    <t>Gruppe</t>
  </si>
  <si>
    <t>billion kcal</t>
  </si>
  <si>
    <t>Difference 2019</t>
  </si>
  <si>
    <t>kcal</t>
  </si>
  <si>
    <t>ton</t>
  </si>
  <si>
    <t>https://static-curis.ku.dk/portal/files/209323723/IFRO_Udredning_2016_30.pdf</t>
  </si>
  <si>
    <t>kton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</si>
</sst>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4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167" fontId="0" fillId="14" borderId="1" xfId="2" applyNumberFormat="1" applyFont="1" applyFill="1" applyBorder="1"/>
    <xf numFmtId="0" fontId="0" fillId="63" borderId="0" xfId="0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3.xml"/><Relationship Id="rId47" Type="http://schemas.openxmlformats.org/officeDocument/2006/relationships/pivotCacheDefinition" Target="pivotCache/pivotCacheDefinition8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1.xml"/><Relationship Id="rId45" Type="http://schemas.openxmlformats.org/officeDocument/2006/relationships/pivotCacheDefinition" Target="pivotCache/pivotCacheDefinition6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5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4.xml"/><Relationship Id="rId48" Type="http://schemas.openxmlformats.org/officeDocument/2006/relationships/theme" Target="theme/theme1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7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2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287248.39592951711</c:v>
                </c:pt>
                <c:pt idx="2">
                  <c:v>537686.14771168726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4891.4296197465119</c:v>
                </c:pt>
                <c:pt idx="2">
                  <c:v>299917.46027799317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245707.92287855776</c:v>
                </c:pt>
                <c:pt idx="2">
                  <c:v>754498.9869193387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70179.935803594577</c:v>
                </c:pt>
                <c:pt idx="2">
                  <c:v>215005.07896238801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18329.447243404069</c:v>
                </c:pt>
                <c:pt idx="2">
                  <c:v>16356.183104388647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53439.478453935844</c:v>
                </c:pt>
                <c:pt idx="2">
                  <c:v>143.34379382222059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992405.37867281248</c:v>
                </c:pt>
                <c:pt idx="2">
                  <c:v>2660.7331259514922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136417.13303535167</c:v>
                </c:pt>
                <c:pt idx="2">
                  <c:v>483.5810118234416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67538.772462970126</c:v>
                </c:pt>
                <c:pt idx="2">
                  <c:v>162.57166940822827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155662.58963035964</c:v>
                </c:pt>
                <c:pt idx="2">
                  <c:v>322742.34067986236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31643.793284765423</c:v>
                </c:pt>
                <c:pt idx="2">
                  <c:v>16.412163123889165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295381.28969570249</c:v>
                </c:pt>
                <c:pt idx="2">
                  <c:v>2147.2082115244143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8013.7680697060587</c:v>
                </c:pt>
                <c:pt idx="2">
                  <c:v>6348.1779255936181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101970.2100146141</c:v>
                </c:pt>
                <c:pt idx="2">
                  <c:v>501.7744430942368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14.12423989447726</c:v>
                </c:pt>
                <c:pt idx="2">
                  <c:v>8.6827009518271741</c:v>
                </c:pt>
                <c:pt idx="3">
                  <c:v>7.483154704207001</c:v>
                </c:pt>
                <c:pt idx="4">
                  <c:v>3.9924514842057848</c:v>
                </c:pt>
                <c:pt idx="5">
                  <c:v>5.0333912548142052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24.393200841877629</c:v>
                </c:pt>
                <c:pt idx="2">
                  <c:v>64.175137325746221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27.63117559647575</c:v>
                </c:pt>
                <c:pt idx="2">
                  <c:v>13.732936241351867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0.93973134231983635</c:v>
                </c:pt>
                <c:pt idx="2">
                  <c:v>6.0547705128400089E-2</c:v>
                </c:pt>
                <c:pt idx="3">
                  <c:v>5.0922829580050024</c:v>
                </c:pt>
                <c:pt idx="4">
                  <c:v>10.114954755047025</c:v>
                </c:pt>
                <c:pt idx="5">
                  <c:v>1.2624378640218132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1081138.0604123813</c:v>
                </c:pt>
                <c:pt idx="2">
                  <c:v>1009103.8878695687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2911715.3446413972</c:v>
                </c:pt>
                <c:pt idx="2">
                  <c:v>9766445.2482961845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2320481.2029949962</c:v>
                </c:pt>
                <c:pt idx="2">
                  <c:v>1129374.4698903398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1516304.9496731197</c:v>
                </c:pt>
                <c:pt idx="2">
                  <c:v>188407.19869176933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2106143.9491047473</c:v>
                </c:pt>
                <c:pt idx="2">
                  <c:v>407102.0419736823</c:v>
                </c:pt>
                <c:pt idx="15">
                  <c:v>823764.99285714305</c:v>
                </c:pt>
                <c:pt idx="16">
                  <c:v>265775.30786321807</c:v>
                </c:pt>
                <c:pt idx="17">
                  <c:v>17124.13351159139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9280062.7029926386</c:v>
                </c:pt>
                <c:pt idx="5">
                  <c:v>1171525.8261246812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586245.08547563502</c:v>
                </c:pt>
                <c:pt idx="5">
                  <c:v>74008.256199809693</c:v>
                </c:pt>
                <c:pt idx="9">
                  <c:v>1895494.5192748301</c:v>
                </c:pt>
                <c:pt idx="10">
                  <c:v>2110603.0181052475</c:v>
                </c:pt>
                <c:pt idx="11">
                  <c:v>1328675.8469298114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3661484.3693090063</c:v>
                </c:pt>
                <c:pt idx="5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4458315.7543181824</c:v>
                </c:pt>
                <c:pt idx="5">
                  <c:v>562822.92634918995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6149984.92344434</c:v>
                </c:pt>
                <c:pt idx="2">
                  <c:v>756558.64442740742</c:v>
                </c:pt>
                <c:pt idx="15">
                  <c:v>9696490.333333334</c:v>
                </c:pt>
                <c:pt idx="16">
                  <c:v>2049994.9744814469</c:v>
                </c:pt>
                <c:pt idx="17">
                  <c:v>84062.071603045246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1149393.6090669457</c:v>
                </c:pt>
                <c:pt idx="5">
                  <c:v>145100.77577065813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4289846.7146913484</c:v>
                </c:pt>
                <c:pt idx="5">
                  <c:v>541555.20034970809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646545.44394551869</c:v>
                </c:pt>
                <c:pt idx="20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637872.69439353561</c:v>
                </c:pt>
                <c:pt idx="5">
                  <c:v>80525.785135134764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29889.668320889847</c:v>
                </c:pt>
                <c:pt idx="5">
                  <c:v>3773.3062257145148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5448586.1690262407</c:v>
                </c:pt>
                <c:pt idx="2">
                  <c:v>6751934.1392240729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162355.24383392438</c:v>
                </c:pt>
                <c:pt idx="5">
                  <c:v>20495.91336240384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12803468.568539068</c:v>
                </c:pt>
                <c:pt idx="17">
                  <c:v>843173.48136747919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1985633.2267312168</c:v>
                </c:pt>
                <c:pt idx="17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B-47EB-BAD2-C631EBF5A48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B-47EB-BAD2-C631EBF5A48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B-47EB-BAD2-C631EBF5A482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5B-47EB-BAD2-C631EBF5A482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5B-47EB-BAD2-C631EBF5A482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5B-47EB-BAD2-C631EBF5A482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5B-47EB-BAD2-C631EBF5A482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45B-47EB-BAD2-C631EBF5A482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5B-47EB-BAD2-C631EBF5A482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5B-47EB-BAD2-C631EBF5A482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45B-47EB-BAD2-C631EBF5A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A3D-9CF4-F1A3C26AFB0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A3D-9CF4-F1A3C26AF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  <c:pivotFmt>
        <c:idx val="527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B6-4B1D-8AE5-3907A2D8091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6-4B1D-8AE5-3907A2D8091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B6-4B1D-8AE5-3907A2D80917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B6-4B1D-8AE5-3907A2D80917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B6-4B1D-8AE5-3907A2D80917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B6-4B1D-8AE5-3907A2D80917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B6-4B1D-8AE5-3907A2D80917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B6-4B1D-8AE5-3907A2D80917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6B6-4B1D-8AE5-3907A2D80917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6B6-4B1D-8AE5-3907A2D80917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B6-4B1D-8AE5-3907A2D80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F-414A-85C3-6AFE5B6DBD6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F-414A-85C3-6AFE5B6D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-253714.21368796375</c:v>
                </c:pt>
                <c:pt idx="2">
                  <c:v>-22262.763056218977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9752909.8767487388</c:v>
                </c:pt>
                <c:pt idx="2">
                  <c:v>633807.98066069442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12-4D13-9A5D-DB714380E4B1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12-4D13-9A5D-DB714380E4B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12-4D13-9A5D-DB714380E4B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12-4D13-9A5D-DB714380E4B1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12-4D13-9A5D-DB714380E4B1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12-4D13-9A5D-DB714380E4B1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12-4D13-9A5D-DB714380E4B1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12-4D13-9A5D-DB714380E4B1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12-4D13-9A5D-DB714380E4B1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12-4D13-9A5D-DB714380E4B1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12-4D13-9A5D-DB714380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B-4381-B7DE-6FF852E1CC0F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B-4381-B7DE-6FF852E1C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970843.15347329958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1913259.3368418217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2106143.9491047473</c:v>
                </c:pt>
                <c:pt idx="2">
                  <c:v>407102.0419736823</c:v>
                </c:pt>
                <c:pt idx="15">
                  <c:v>823764.99285714305</c:v>
                </c:pt>
                <c:pt idx="16">
                  <c:v>265775.30786321807</c:v>
                </c:pt>
                <c:pt idx="17">
                  <c:v>17124.13351159139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9280062.7029926386</c:v>
                </c:pt>
                <c:pt idx="5">
                  <c:v>1171525.8261246812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586245.08547563502</c:v>
                </c:pt>
                <c:pt idx="5">
                  <c:v>74008.256199809693</c:v>
                </c:pt>
                <c:pt idx="9">
                  <c:v>1895494.5192748301</c:v>
                </c:pt>
                <c:pt idx="10">
                  <c:v>2110603.0181052475</c:v>
                </c:pt>
                <c:pt idx="11">
                  <c:v>1328675.8469298114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3661484.3693090063</c:v>
                </c:pt>
                <c:pt idx="5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4458315.7543181824</c:v>
                </c:pt>
                <c:pt idx="5">
                  <c:v>562822.92634918995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6149984.92344434</c:v>
                </c:pt>
                <c:pt idx="2">
                  <c:v>756558.64442740742</c:v>
                </c:pt>
                <c:pt idx="15">
                  <c:v>9696490.333333334</c:v>
                </c:pt>
                <c:pt idx="16">
                  <c:v>2049994.9744814469</c:v>
                </c:pt>
                <c:pt idx="17">
                  <c:v>84062.071603045246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1149393.6090669457</c:v>
                </c:pt>
                <c:pt idx="5">
                  <c:v>145100.77577065813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4289846.7146913484</c:v>
                </c:pt>
                <c:pt idx="5">
                  <c:v>541555.20034970809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646545.44394551869</c:v>
                </c:pt>
                <c:pt idx="20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637872.69439353561</c:v>
                </c:pt>
                <c:pt idx="5">
                  <c:v>80525.785135134764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29889.668320889847</c:v>
                </c:pt>
                <c:pt idx="5">
                  <c:v>3773.3062257145148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5448586.1690262407</c:v>
                </c:pt>
                <c:pt idx="2">
                  <c:v>6751934.1392240729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162355.24383392438</c:v>
                </c:pt>
                <c:pt idx="5">
                  <c:v>20495.91336240384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12803468.568539068</c:v>
                </c:pt>
                <c:pt idx="17">
                  <c:v>843173.48136747919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1985633.2267312168</c:v>
                </c:pt>
                <c:pt idx="17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1117452.9738889411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1985633.2267312168</c:v>
                </c:pt>
                <c:pt idx="2">
                  <c:v>4104326.2954310672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5-4D9E-BBD0-EC19F39B924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121218.25849421723</c:v>
                </c:pt>
                <c:pt idx="2">
                  <c:v>38234.096623569851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35-4D9E-BBD0-EC19F39B9244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516494.58495904895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35-4D9E-BBD0-EC19F39B9244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35-4D9E-BBD0-EC19F39B9244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51843.324620132888</c:v>
                </c:pt>
                <c:pt idx="2">
                  <c:v>112903.28792996558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35-4D9E-BBD0-EC19F39B9244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79045.945262496738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35-4D9E-BBD0-EC19F39B9244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172.32701619649208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35-4D9E-BBD0-EC19F39B9244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35-4D9E-BBD0-EC19F39B9244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35-4D9E-BBD0-EC19F39B9244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35-4D9E-BBD0-EC19F39B9244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5421074.2654714445</c:v>
                </c:pt>
                <c:pt idx="1">
                  <c:v>3661484.3693090063</c:v>
                </c:pt>
                <c:pt idx="2">
                  <c:v>462230.0126500281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35-4D9E-BBD0-EC19F39B9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997537.40382014518</c:v>
                </c:pt>
                <c:pt idx="2">
                  <c:v>1913259.3368418217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5876128.6539074313</c:v>
                </c:pt>
                <c:pt idx="2">
                  <c:v>7470808.2181634232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436272.67517169751</c:v>
                </c:pt>
                <c:pt idx="2">
                  <c:v>28109.42670770664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7296587.5607431894</c:v>
                </c:pt>
                <c:pt idx="2">
                  <c:v>34880161.601057798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1033865.5069852719</c:v>
                </c:pt>
                <c:pt idx="2">
                  <c:v>4170005.4391380921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591642.55905312812</c:v>
                </c:pt>
                <c:pt idx="2">
                  <c:v>382368.42148557794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1698285.9277597938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1703831.2509753662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1787607.2617034707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47458.843865180679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1816195.3896754137</c:v>
                </c:pt>
                <c:pt idx="2">
                  <c:v>750214.90435823007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E-4A0A-8ADD-D927D483EF3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160917.47813883494</c:v>
                </c:pt>
                <c:pt idx="2">
                  <c:v>633724.24976508948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E-4A0A-8ADD-D927D483E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14.12423989447726</c:v>
                </c:pt>
                <c:pt idx="2">
                  <c:v>8.6827009518271741</c:v>
                </c:pt>
                <c:pt idx="3">
                  <c:v>7.483154704207001</c:v>
                </c:pt>
                <c:pt idx="4">
                  <c:v>3.9924514842057848</c:v>
                </c:pt>
                <c:pt idx="5">
                  <c:v>5.0333912548142052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24.393200841877629</c:v>
                </c:pt>
                <c:pt idx="2">
                  <c:v>64.175137325746221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27.63117559647575</c:v>
                </c:pt>
                <c:pt idx="2">
                  <c:v>13.732936241351867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0.93973134231983635</c:v>
                </c:pt>
                <c:pt idx="2">
                  <c:v>6.0547705128400089E-2</c:v>
                </c:pt>
                <c:pt idx="3">
                  <c:v>5.0922829580050024</c:v>
                </c:pt>
                <c:pt idx="4">
                  <c:v>10.114954755047025</c:v>
                </c:pt>
                <c:pt idx="5">
                  <c:v>1.2624378640218132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1081138.0604123813</c:v>
                </c:pt>
                <c:pt idx="2">
                  <c:v>1009103.8878695687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2911715.3446413972</c:v>
                </c:pt>
                <c:pt idx="2">
                  <c:v>9766445.2482961845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2320481.2029949962</c:v>
                </c:pt>
                <c:pt idx="2">
                  <c:v>1129374.4698903398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1516304.9496731197</c:v>
                </c:pt>
                <c:pt idx="2">
                  <c:v>188407.19869176933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1386"/>
          <a:ext cx="1469736" cy="39196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9305" y="3673288"/>
          <a:ext cx="1485580" cy="347703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0312" y="179294"/>
          <a:ext cx="1283447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3301"/>
          <a:ext cx="1306605" cy="36251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4459" y="207469"/>
          <a:ext cx="1316851" cy="37011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82536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</row>
        <row r="5">
          <cell r="A5" t="str">
            <v>Biogas</v>
          </cell>
          <cell r="B5" t="str">
            <v>-</v>
          </cell>
        </row>
        <row r="6">
          <cell r="A6" t="str">
            <v>Biogasgylle</v>
          </cell>
          <cell r="B6" t="str">
            <v>-</v>
          </cell>
        </row>
        <row r="7">
          <cell r="A7" t="str">
            <v>Brun saft</v>
          </cell>
          <cell r="B7" t="str">
            <v>-</v>
          </cell>
        </row>
        <row r="8">
          <cell r="A8" t="str">
            <v>Dybstrøelse</v>
          </cell>
          <cell r="B8" t="str">
            <v>-</v>
          </cell>
        </row>
        <row r="9">
          <cell r="A9" t="str">
            <v>Fiberfraktion</v>
          </cell>
          <cell r="B9" t="str">
            <v>-</v>
          </cell>
        </row>
        <row r="10">
          <cell r="A10" t="str">
            <v>Fjerkrægylle</v>
          </cell>
          <cell r="B10" t="str">
            <v>-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</row>
        <row r="15">
          <cell r="A15" t="str">
            <v>Græs</v>
          </cell>
        </row>
        <row r="16">
          <cell r="A16" t="str">
            <v>Græsprotein</v>
          </cell>
          <cell r="B16" t="str">
            <v>-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</row>
        <row r="19">
          <cell r="A19" t="str">
            <v>Have/parkaffald</v>
          </cell>
          <cell r="B19" t="str">
            <v>-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</row>
        <row r="22">
          <cell r="A22" t="str">
            <v>Juletræer</v>
          </cell>
          <cell r="B22" t="str">
            <v>-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366</v>
          </cell>
        </row>
        <row r="25">
          <cell r="A25" t="str">
            <v>Kunstgødning</v>
          </cell>
          <cell r="B25" t="str">
            <v>-</v>
          </cell>
        </row>
        <row r="26">
          <cell r="A26" t="str">
            <v>Kvæggylle</v>
          </cell>
          <cell r="B26" t="str">
            <v>-</v>
          </cell>
        </row>
        <row r="27">
          <cell r="A27" t="str">
            <v>Mælk til foder</v>
          </cell>
          <cell r="B27" t="str">
            <v>-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</row>
        <row r="34">
          <cell r="A34" t="str">
            <v>Pyrolysegas</v>
          </cell>
          <cell r="B34" t="str">
            <v>-</v>
          </cell>
        </row>
        <row r="35">
          <cell r="A35" t="str">
            <v>Pyrolyseolie</v>
          </cell>
          <cell r="B35" t="str">
            <v>-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</row>
        <row r="38">
          <cell r="A38" t="str">
            <v>Rapskage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</row>
        <row r="42">
          <cell r="A42" t="str">
            <v>Slagteriaffald til foder</v>
          </cell>
          <cell r="B42" t="str">
            <v>-</v>
          </cell>
        </row>
        <row r="43">
          <cell r="A43" t="str">
            <v>Spildevandsslam</v>
          </cell>
          <cell r="B43" t="str">
            <v>-</v>
          </cell>
        </row>
        <row r="44">
          <cell r="A44" t="str">
            <v>Svinegylle</v>
          </cell>
          <cell r="B44" t="str">
            <v>-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</row>
        <row r="48">
          <cell r="A48" t="str">
            <v>Træ til energi</v>
          </cell>
          <cell r="B48" t="str">
            <v>-</v>
          </cell>
        </row>
        <row r="49">
          <cell r="A49" t="str">
            <v>Træmaterialer</v>
          </cell>
          <cell r="B49" t="str">
            <v>-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046296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393519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509258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215.4481017361189" maxValue="27470991.955365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740742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3452262.365757864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23452262.365757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097222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319443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666666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491898151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60155466.1518810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5741886.05745283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60155466.15188104"/>
    </cacheField>
    <cacheField name="Materialer og processer" numFmtId="0">
      <sharedItems containsSemiMixedTypes="0" containsString="0" containsNumber="1" minValue="0" maxValue="996229.71876806754"/>
    </cacheField>
    <cacheField name="Produktion minus forbrug [ton]" numFmtId="3">
      <sharedItems containsSemiMixedTypes="0" containsString="0" containsNumber="1" minValue="-4828427.5390456235" maxValue="26418240.720742173"/>
    </cacheField>
    <cacheField name="Potentiale til energi [ton]" numFmtId="3">
      <sharedItems containsSemiMixedTypes="0" containsString="0" containsNumber="1" minValue="0" maxValue="26418240.720742173"/>
    </cacheField>
    <cacheField name="Forbrug energi [ton/m3]" numFmtId="3">
      <sharedItems containsSemiMixedTypes="0" containsString="0" containsNumber="1" minValue="0" maxValue="360155466.15188104"/>
    </cacheField>
    <cacheField name="Potentiale til energi [PJ]" numFmtId="0">
      <sharedItems containsSemiMixedTypes="0" containsString="0" containsNumber="1" minValue="0" maxValue="48.606260646075512"/>
    </cacheField>
    <cacheField name="Forbrug/potentiale [PJ]" numFmtId="0">
      <sharedItems containsSemiMixedTypes="0" containsString="0" containsNumber="1" minValue="0" maxValue="48.606260646075512"/>
    </cacheField>
    <cacheField name="Biogasproduktion [PJ]" numFmtId="0">
      <sharedItems containsSemiMixedTypes="0" containsString="0" containsNumber="1" minValue="0" maxValue="3.9828598120565926"/>
    </cacheField>
    <cacheField name="Biomasser til energi eksl. biogas [PJ]" numFmtId="0">
      <sharedItems containsSemiMixedTypes="0" containsString="0" containsNumber="1" minValue="0" maxValue="48.606260646075512"/>
    </cacheField>
    <cacheField name="Potentiale til energi [Ton TS]" numFmtId="0">
      <sharedItems containsSemiMixedTypes="0" containsString="0" containsNumber="1" minValue="0" maxValue="7397107.4018078092"/>
    </cacheField>
    <cacheField name="Forbrug/potentiale [Ton TS]" numFmtId="0">
      <sharedItems containsSemiMixedTypes="0" containsString="0" containsNumber="1" minValue="0" maxValue="7397107.4018078092"/>
    </cacheField>
    <cacheField name="Biogasproduktion [Ton TS]" numFmtId="0">
      <sharedItems containsSemiMixedTypes="0" containsString="0" containsNumber="1" minValue="0" maxValue="554715.85126136383"/>
    </cacheField>
    <cacheField name="Biomasser til energi eksl. biogas [Ton TS]" numFmtId="0">
      <sharedItems containsSemiMixedTypes="0" containsString="0" containsNumber="1" minValue="0" maxValue="7397107.40180780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4992012.841626931"/>
  </r>
  <r>
    <x v="1"/>
    <s v="Vestdanmark"/>
    <x v="15"/>
    <x v="1"/>
    <n v="5741886.057452837"/>
  </r>
  <r>
    <x v="1"/>
    <s v="Vestdanmark"/>
    <x v="16"/>
    <x v="1"/>
    <n v="6063.3754879128683"/>
  </r>
  <r>
    <x v="1"/>
    <s v="Vestdanmark"/>
    <x v="17"/>
    <x v="1"/>
    <n v="2943192.4535522191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849052.8375378796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706355.15146112291"/>
  </r>
  <r>
    <x v="1"/>
    <s v="Vestdanmark"/>
    <x v="16"/>
    <x v="2"/>
    <n v="5056.5736535095893"/>
  </r>
  <r>
    <x v="1"/>
    <s v="Vestdanmark"/>
    <x v="17"/>
    <x v="2"/>
    <n v="3608845.3408527621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356969.53284222382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723328.25937466533"/>
  </r>
  <r>
    <x v="1"/>
    <s v="Østdanmark"/>
    <x v="15"/>
    <x v="1"/>
    <n v="408098.865991503"/>
  </r>
  <r>
    <x v="1"/>
    <s v="Østdanmark"/>
    <x v="16"/>
    <x v="1"/>
    <n v="508.89686663358577"/>
  </r>
  <r>
    <x v="1"/>
    <s v="Østdanmark"/>
    <x v="17"/>
    <x v="1"/>
    <n v="2505393.7154740216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7091.11156686768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50203.492966284524"/>
  </r>
  <r>
    <x v="1"/>
    <s v="Østdanmark"/>
    <x v="16"/>
    <x v="2"/>
    <n v="424.39636029513713"/>
  </r>
  <r>
    <x v="1"/>
    <s v="Østdanmark"/>
    <x v="17"/>
    <x v="2"/>
    <n v="3143088.7983713108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50132.50913145845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3972505.784940829"/>
  </r>
  <r>
    <x v="2"/>
    <s v="Vestdanmark"/>
    <x v="22"/>
    <x v="1"/>
    <n v="522363.62828034989"/>
  </r>
  <r>
    <x v="2"/>
    <s v="Vestdanmark"/>
    <x v="2"/>
    <x v="1"/>
    <n v="0"/>
  </r>
  <r>
    <x v="2"/>
    <s v="Vestdanmark"/>
    <x v="5"/>
    <x v="1"/>
    <n v="43580.743031500795"/>
  </r>
  <r>
    <x v="2"/>
    <s v="Vestdanmark"/>
    <x v="25"/>
    <x v="1"/>
    <n v="568365.52370248956"/>
  </r>
  <r>
    <x v="2"/>
    <s v="Vestdanmark"/>
    <x v="24"/>
    <x v="1"/>
    <n v="3822394.3367212149"/>
  </r>
  <r>
    <x v="2"/>
    <s v="Vestdanmark"/>
    <x v="28"/>
    <x v="1"/>
    <n v="144663.85534067627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8268840.7021296145"/>
  </r>
  <r>
    <x v="2"/>
    <s v="Vestdanmark"/>
    <x v="29"/>
    <x v="1"/>
    <n v="1024147.461240268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26632.676297028265"/>
  </r>
  <r>
    <x v="2"/>
    <s v="Vestdanmark"/>
    <x v="33"/>
    <x v="1"/>
    <n v="3262502.8463859628"/>
  </r>
  <r>
    <x v="2"/>
    <s v="Vestdanmark"/>
    <x v="0"/>
    <x v="2"/>
    <n v="505761.3902957458"/>
  </r>
  <r>
    <x v="2"/>
    <s v="Vestdanmark"/>
    <x v="22"/>
    <x v="2"/>
    <n v="66504.964166574544"/>
  </r>
  <r>
    <x v="2"/>
    <s v="Vestdanmark"/>
    <x v="2"/>
    <x v="2"/>
    <n v="0"/>
  </r>
  <r>
    <x v="2"/>
    <s v="Vestdanmark"/>
    <x v="5"/>
    <x v="2"/>
    <n v="5548.5022247895331"/>
  </r>
  <r>
    <x v="2"/>
    <s v="Vestdanmark"/>
    <x v="25"/>
    <x v="2"/>
    <n v="72361.716514963497"/>
  </r>
  <r>
    <x v="2"/>
    <s v="Vestdanmark"/>
    <x v="24"/>
    <x v="2"/>
    <n v="486649.88263258187"/>
  </r>
  <r>
    <x v="2"/>
    <s v="Vestdanmark"/>
    <x v="28"/>
    <x v="2"/>
    <n v="18417.94488506525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52751.2346229136"/>
  </r>
  <r>
    <x v="2"/>
    <s v="Vestdanmark"/>
    <x v="29"/>
    <x v="2"/>
    <n v="130389.80228255401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390.7513595936034"/>
  </r>
  <r>
    <x v="2"/>
    <s v="Vestdanmark"/>
    <x v="33"/>
    <x v="2"/>
    <n v="415367.04155021644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485809.96937735338"/>
  </r>
  <r>
    <x v="2"/>
    <s v="Østdanmark"/>
    <x v="22"/>
    <x v="1"/>
    <n v="63881.457195285089"/>
  </r>
  <r>
    <x v="2"/>
    <s v="Østdanmark"/>
    <x v="2"/>
    <x v="1"/>
    <n v="0"/>
  </r>
  <r>
    <x v="2"/>
    <s v="Østdanmark"/>
    <x v="5"/>
    <x v="1"/>
    <n v="5329.6233117734955"/>
  </r>
  <r>
    <x v="2"/>
    <s v="Østdanmark"/>
    <x v="25"/>
    <x v="1"/>
    <n v="69507.170691045991"/>
  </r>
  <r>
    <x v="2"/>
    <s v="Østdanmark"/>
    <x v="24"/>
    <x v="1"/>
    <n v="467452.37797013356"/>
  </r>
  <r>
    <x v="2"/>
    <s v="Østdanmark"/>
    <x v="28"/>
    <x v="1"/>
    <n v="17691.38849324812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011222.0008630237"/>
  </r>
  <r>
    <x v="2"/>
    <s v="Østdanmark"/>
    <x v="29"/>
    <x v="1"/>
    <n v="125246.14782667712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256.9920238615805"/>
  </r>
  <r>
    <x v="2"/>
    <s v="Østdanmark"/>
    <x v="33"/>
    <x v="1"/>
    <n v="398981.52292304358"/>
  </r>
  <r>
    <x v="2"/>
    <s v="Østdanmark"/>
    <x v="0"/>
    <x v="2"/>
    <n v="57061.536053444106"/>
  </r>
  <r>
    <x v="2"/>
    <s v="Østdanmark"/>
    <x v="22"/>
    <x v="2"/>
    <n v="7503.2920332351478"/>
  </r>
  <r>
    <x v="2"/>
    <s v="Østdanmark"/>
    <x v="2"/>
    <x v="2"/>
    <n v="0"/>
  </r>
  <r>
    <x v="2"/>
    <s v="Østdanmark"/>
    <x v="5"/>
    <x v="2"/>
    <n v="625.99887183421856"/>
  </r>
  <r>
    <x v="2"/>
    <s v="Østdanmark"/>
    <x v="25"/>
    <x v="2"/>
    <n v="8164.068620171267"/>
  </r>
  <r>
    <x v="2"/>
    <s v="Østdanmark"/>
    <x v="24"/>
    <x v="2"/>
    <n v="54905.31771712625"/>
  </r>
  <r>
    <x v="2"/>
    <s v="Østdanmark"/>
    <x v="28"/>
    <x v="2"/>
    <n v="2077.9684773385866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18774.59150176747"/>
  </r>
  <r>
    <x v="2"/>
    <s v="Østdanmark"/>
    <x v="29"/>
    <x v="2"/>
    <n v="14710.973488104135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2.55486612091136"/>
  </r>
  <r>
    <x v="2"/>
    <s v="Østdanmark"/>
    <x v="33"/>
    <x v="2"/>
    <n v="46862.971099811642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501637.1325612864"/>
  </r>
  <r>
    <x v="3"/>
    <s v="Vestdanmark"/>
    <x v="34"/>
    <x v="1"/>
    <n v="159446.58748119973"/>
  </r>
  <r>
    <x v="3"/>
    <s v="Vestdanmark"/>
    <x v="35"/>
    <x v="1"/>
    <n v="151285.23145276494"/>
  </r>
  <r>
    <x v="3"/>
    <s v="Vestdanmark"/>
    <x v="36"/>
    <x v="1"/>
    <n v="2217144.8993992088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08965.88554396096"/>
  </r>
  <r>
    <x v="3"/>
    <s v="Østdanmark"/>
    <x v="34"/>
    <x v="1"/>
    <n v="47447.954581366219"/>
  </r>
  <r>
    <x v="3"/>
    <s v="Østdanmark"/>
    <x v="35"/>
    <x v="1"/>
    <n v="40786.879237447567"/>
  </r>
  <r>
    <x v="3"/>
    <s v="Østdanmark"/>
    <x v="36"/>
    <x v="1"/>
    <n v="647645.8602833859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95075.1511158779"/>
  </r>
  <r>
    <x v="3"/>
    <s v="Vestdanmark"/>
    <x v="34"/>
    <x v="2"/>
    <n v="318793.5100057816"/>
  </r>
  <r>
    <x v="3"/>
    <s v="Vestdanmark"/>
    <x v="35"/>
    <x v="2"/>
    <n v="109495.6819733945"/>
  </r>
  <r>
    <x v="3"/>
    <s v="Vestdanmark"/>
    <x v="36"/>
    <x v="2"/>
    <n v="2287577.6202536402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33600.69581393356"/>
  </r>
  <r>
    <x v="3"/>
    <s v="Østdanmark"/>
    <x v="34"/>
    <x v="2"/>
    <n v="99907.394395814132"/>
  </r>
  <r>
    <x v="3"/>
    <s v="Østdanmark"/>
    <x v="35"/>
    <x v="2"/>
    <n v="34028.264724407527"/>
  </r>
  <r>
    <x v="3"/>
    <s v="Østdanmark"/>
    <x v="36"/>
    <x v="2"/>
    <n v="637918.49942824384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1664004.2805423103"/>
  </r>
  <r>
    <x v="5"/>
    <s v="Vestdanmark"/>
    <x v="15"/>
    <x v="1"/>
    <n v="1913962.0191509458"/>
  </r>
  <r>
    <x v="5"/>
    <s v="Vestdanmark"/>
    <x v="16"/>
    <x v="1"/>
    <n v="2021.1251626376227"/>
  </r>
  <r>
    <x v="5"/>
    <s v="Vestdanmark"/>
    <x v="20"/>
    <x v="1"/>
    <n v="233332.85807025622"/>
  </r>
  <r>
    <x v="5"/>
    <s v="Vestdanmark"/>
    <x v="38"/>
    <x v="1"/>
    <n v="10112257.042498086"/>
  </r>
  <r>
    <x v="5"/>
    <s v="Vestdanmark"/>
    <x v="39"/>
    <x v="1"/>
    <n v="1499151.6936668851"/>
  </r>
  <r>
    <x v="5"/>
    <s v="Vestdanmark"/>
    <x v="14"/>
    <x v="2"/>
    <n v="0"/>
  </r>
  <r>
    <x v="5"/>
    <s v="Vestdanmark"/>
    <x v="15"/>
    <x v="2"/>
    <n v="78483.905717902526"/>
  </r>
  <r>
    <x v="5"/>
    <s v="Vestdanmark"/>
    <x v="16"/>
    <x v="2"/>
    <n v="561.84151705662089"/>
  </r>
  <r>
    <x v="5"/>
    <s v="Vestdanmark"/>
    <x v="20"/>
    <x v="2"/>
    <n v="15015.385111617346"/>
  </r>
  <r>
    <x v="5"/>
    <s v="Vestdanmark"/>
    <x v="38"/>
    <x v="2"/>
    <n v="495509.77237359248"/>
  </r>
  <r>
    <x v="5"/>
    <s v="Vestdanmark"/>
    <x v="39"/>
    <x v="2"/>
    <n v="3130893.6010473287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241109.41979155506"/>
  </r>
  <r>
    <x v="5"/>
    <s v="Østdanmark"/>
    <x v="15"/>
    <x v="1"/>
    <n v="136032.95533050099"/>
  </r>
  <r>
    <x v="5"/>
    <s v="Østdanmark"/>
    <x v="16"/>
    <x v="1"/>
    <n v="169.63228887786195"/>
  </r>
  <r>
    <x v="5"/>
    <s v="Østdanmark"/>
    <x v="20"/>
    <x v="1"/>
    <n v="32442.449792961874"/>
  </r>
  <r>
    <x v="5"/>
    <s v="Østdanmark"/>
    <x v="38"/>
    <x v="1"/>
    <n v="2691211.5260409825"/>
  </r>
  <r>
    <x v="5"/>
    <s v="Østdanmark"/>
    <x v="39"/>
    <x v="1"/>
    <n v="486481.53306433168"/>
  </r>
  <r>
    <x v="5"/>
    <s v="Østdanmark"/>
    <x v="14"/>
    <x v="2"/>
    <n v="0"/>
  </r>
  <r>
    <x v="5"/>
    <s v="Østdanmark"/>
    <x v="15"/>
    <x v="2"/>
    <n v="5578.1658851427237"/>
  </r>
  <r>
    <x v="5"/>
    <s v="Østdanmark"/>
    <x v="16"/>
    <x v="2"/>
    <n v="47.155151143904114"/>
  </r>
  <r>
    <x v="5"/>
    <s v="Østdanmark"/>
    <x v="20"/>
    <x v="2"/>
    <n v="2108.7483999740452"/>
  </r>
  <r>
    <x v="5"/>
    <s v="Østdanmark"/>
    <x v="38"/>
    <x v="2"/>
    <n v="347663.70899388671"/>
  </r>
  <r>
    <x v="5"/>
    <s v="Østdanmark"/>
    <x v="39"/>
    <x v="2"/>
    <n v="973432.6943837383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498270.5858787492"/>
  </r>
  <r>
    <x v="7"/>
    <s v="Vestdanmark"/>
    <x v="40"/>
    <x v="2"/>
    <n v="996229.71876806754"/>
  </r>
  <r>
    <x v="7"/>
    <s v="Østdanmark"/>
    <x v="40"/>
    <x v="0"/>
    <n v="192563.22613808865"/>
  </r>
  <r>
    <x v="7"/>
    <s v="Østdanmark"/>
    <x v="40"/>
    <x v="1"/>
    <n v="148274.85806676943"/>
  </r>
  <r>
    <x v="7"/>
    <s v="Østdanmark"/>
    <x v="40"/>
    <x v="2"/>
    <n v="312210.6074869191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595.901673525368"/>
  </r>
  <r>
    <x v="0"/>
    <x v="2"/>
    <x v="1"/>
    <s v="OC6"/>
    <n v="0"/>
  </r>
  <r>
    <x v="0"/>
    <x v="3"/>
    <x v="1"/>
    <s v="OC6"/>
    <n v="74044.09832647463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7582.4059259259229"/>
  </r>
  <r>
    <x v="0"/>
    <x v="2"/>
    <x v="2"/>
    <s v="OC6"/>
    <n v="0"/>
  </r>
  <r>
    <x v="0"/>
    <x v="3"/>
    <x v="2"/>
    <s v="OC6"/>
    <n v="133057.59407407406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14.39462277092"/>
  </r>
  <r>
    <x v="1"/>
    <x v="2"/>
    <x v="1"/>
    <s v="OC6"/>
    <n v="0"/>
  </r>
  <r>
    <x v="1"/>
    <x v="3"/>
    <x v="1"/>
    <s v="OC6"/>
    <n v="11245.605377229082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151.5940740740734"/>
  </r>
  <r>
    <x v="1"/>
    <x v="2"/>
    <x v="2"/>
    <s v="OC6"/>
    <n v="0"/>
  </r>
  <r>
    <x v="1"/>
    <x v="3"/>
    <x v="2"/>
    <s v="OC6"/>
    <n v="20208.40592592592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182167.6605635537"/>
  </r>
  <r>
    <x v="1"/>
    <x v="0"/>
    <x v="1"/>
    <n v="807391.35086832882"/>
  </r>
  <r>
    <x v="2"/>
    <x v="0"/>
    <x v="1"/>
    <n v="498270.5858787492"/>
  </r>
  <r>
    <x v="3"/>
    <x v="0"/>
    <x v="1"/>
    <n v="13177775.793539407"/>
  </r>
  <r>
    <x v="4"/>
    <x v="0"/>
    <x v="1"/>
    <n v="1183876.8673845837"/>
  </r>
  <r>
    <x v="5"/>
    <x v="0"/>
    <x v="1"/>
    <n v="1689696.9927296774"/>
  </r>
  <r>
    <x v="6"/>
    <x v="0"/>
    <x v="1"/>
    <n v="1856731.7758593475"/>
  </r>
  <r>
    <x v="7"/>
    <x v="0"/>
    <x v="1"/>
    <n v="4675837.2738896068"/>
  </r>
  <r>
    <x v="8"/>
    <x v="0"/>
    <x v="1"/>
    <n v="30293.444359786194"/>
  </r>
  <r>
    <x v="9"/>
    <x v="0"/>
    <x v="1"/>
    <n v="1479891.647259762"/>
  </r>
  <r>
    <x v="10"/>
    <x v="0"/>
    <x v="1"/>
    <n v="1068143.9155687199"/>
  </r>
  <r>
    <x v="11"/>
    <x v="0"/>
    <x v="1"/>
    <n v="675080.94417097606"/>
  </r>
  <r>
    <x v="12"/>
    <x v="0"/>
    <x v="1"/>
    <n v="151285.23145276494"/>
  </r>
  <r>
    <x v="0"/>
    <x v="0"/>
    <x v="2"/>
    <n v="17585.624267945121"/>
  </r>
  <r>
    <x v="1"/>
    <x v="0"/>
    <x v="2"/>
    <n v="1461503.2991938624"/>
  </r>
  <r>
    <x v="2"/>
    <x v="0"/>
    <x v="2"/>
    <n v="996229.71876806754"/>
  </r>
  <r>
    <x v="3"/>
    <x v="0"/>
    <x v="2"/>
    <n v="27470991.955365088"/>
  </r>
  <r>
    <x v="4"/>
    <x v="0"/>
    <x v="2"/>
    <n v="3574924.4318902972"/>
  </r>
  <r>
    <x v="5"/>
    <x v="0"/>
    <x v="2"/>
    <n v="6540.3387577996864"/>
  </r>
  <r>
    <x v="6"/>
    <x v="0"/>
    <x v="2"/>
    <n v="328.27548713856038"/>
  </r>
  <r>
    <x v="7"/>
    <x v="0"/>
    <x v="2"/>
    <n v="24354.977510479563"/>
  </r>
  <r>
    <x v="8"/>
    <x v="0"/>
    <x v="2"/>
    <n v="1792737.3458964743"/>
  </r>
  <r>
    <x v="9"/>
    <x v="0"/>
    <x v="2"/>
    <n v="4681.8686166152675"/>
  </r>
  <r>
    <x v="10"/>
    <x v="0"/>
    <x v="2"/>
    <n v="5541.8750535368863"/>
  </r>
  <r>
    <x v="11"/>
    <x v="0"/>
    <x v="2"/>
    <n v="576432.67952835571"/>
  </r>
  <r>
    <x v="12"/>
    <x v="0"/>
    <x v="2"/>
    <n v="109495.681973394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26601.9040028804"/>
  </r>
  <r>
    <x v="1"/>
    <x v="1"/>
    <x v="1"/>
    <n v="239056.41929509072"/>
  </r>
  <r>
    <x v="2"/>
    <x v="1"/>
    <x v="1"/>
    <n v="148274.85806676943"/>
  </r>
  <r>
    <x v="3"/>
    <x v="1"/>
    <x v="1"/>
    <n v="3398874.4701964208"/>
  </r>
  <r>
    <x v="4"/>
    <x v="1"/>
    <x v="1"/>
    <n v="354031.79838602385"/>
  </r>
  <r>
    <x v="5"/>
    <x v="1"/>
    <x v="1"/>
    <n v="474779.06798607635"/>
  </r>
  <r>
    <x v="6"/>
    <x v="1"/>
    <x v="1"/>
    <n v="568748.18023765879"/>
  </r>
  <r>
    <x v="7"/>
    <x v="1"/>
    <x v="1"/>
    <n v="1317840.691777108"/>
  </r>
  <r>
    <x v="8"/>
    <x v="1"/>
    <x v="1"/>
    <n v="9148.1169872791615"/>
  </r>
  <r>
    <x v="9"/>
    <x v="1"/>
    <x v="1"/>
    <n v="432468.49177549983"/>
  </r>
  <r>
    <x v="10"/>
    <x v="1"/>
    <x v="1"/>
    <n v="333442.78659773892"/>
  </r>
  <r>
    <x v="11"/>
    <x v="1"/>
    <x v="1"/>
    <n v="195942.26011419127"/>
  </r>
  <r>
    <x v="12"/>
    <x v="1"/>
    <x v="1"/>
    <n v="40786.879237447567"/>
  </r>
  <r>
    <x v="0"/>
    <x v="1"/>
    <x v="2"/>
    <n v="3503.8972601034743"/>
  </r>
  <r>
    <x v="1"/>
    <x v="1"/>
    <x v="2"/>
    <n v="457930.53874458285"/>
  </r>
  <r>
    <x v="2"/>
    <x v="1"/>
    <x v="2"/>
    <n v="312210.60748691915"/>
  </r>
  <r>
    <x v="3"/>
    <x v="1"/>
    <x v="2"/>
    <n v="8580695.4718173929"/>
  </r>
  <r>
    <x v="4"/>
    <x v="1"/>
    <x v="2"/>
    <n v="1120623.182681245"/>
  </r>
  <r>
    <x v="5"/>
    <x v="1"/>
    <x v="2"/>
    <n v="215.4481017361189"/>
  </r>
  <r>
    <x v="6"/>
    <x v="1"/>
    <x v="2"/>
    <n v="1151.564385499476"/>
  </r>
  <r>
    <x v="7"/>
    <x v="1"/>
    <x v="2"/>
    <n v="705.63788017957472"/>
  </r>
  <r>
    <x v="8"/>
    <x v="1"/>
    <x v="2"/>
    <n v="561970.05809562234"/>
  </r>
  <r>
    <x v="9"/>
    <x v="1"/>
    <x v="2"/>
    <n v="693.49185876962724"/>
  </r>
  <r>
    <x v="10"/>
    <x v="1"/>
    <x v="2"/>
    <n v="2414.435527469192"/>
  </r>
  <r>
    <x v="11"/>
    <x v="1"/>
    <x v="2"/>
    <n v="180250.24074269188"/>
  </r>
  <r>
    <x v="12"/>
    <x v="1"/>
    <x v="2"/>
    <n v="34028.26472440752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37347.23520128522"/>
    <n v="4467804.1187610095"/>
    <n v="1532729.9136543253"/>
    <n v="1532729.9136543253"/>
  </r>
  <r>
    <x v="0"/>
    <x v="1"/>
    <x v="1"/>
    <s v="Konventionel"/>
    <x v="0"/>
    <s v="Halm"/>
    <n v="189649.66510867511"/>
    <n v="732047.70731948595"/>
    <n v="228424.75811780654"/>
    <n v="228424.75811780654"/>
  </r>
  <r>
    <x v="0"/>
    <x v="2"/>
    <x v="1"/>
    <s v="Konventionel"/>
    <x v="0"/>
    <s v="Halm"/>
    <n v="101555.35706467889"/>
    <n v="446843.57108458714"/>
    <n v="250845.80536577498"/>
    <n v="250845.80536577498"/>
  </r>
  <r>
    <x v="0"/>
    <x v="3"/>
    <x v="1"/>
    <s v="Konventionel"/>
    <x v="0"/>
    <s v="Græs"/>
    <n v="139905.49065394065"/>
    <n v="6942110.4462485351"/>
    <n v="0"/>
    <n v="6942110.4462485351"/>
  </r>
  <r>
    <x v="0"/>
    <x v="4"/>
    <x v="1"/>
    <s v="Konventionel"/>
    <x v="0"/>
    <s v="Grøntsager"/>
    <n v="46635.163551313555"/>
    <n v="967679.64368975628"/>
    <n v="0"/>
    <n v="967679.64368975628"/>
  </r>
  <r>
    <x v="0"/>
    <x v="5"/>
    <x v="1"/>
    <s v="Konventionel"/>
    <x v="0"/>
    <s v="Kartofler"/>
    <n v="34039.446970381257"/>
    <n v="1445685.930324076"/>
    <n v="0"/>
    <n v="1445685.930324076"/>
  </r>
  <r>
    <x v="0"/>
    <x v="6"/>
    <x v="1"/>
    <s v="Konventionel"/>
    <x v="0"/>
    <s v="Roer"/>
    <n v="20934.388749875463"/>
    <n v="1700997.1993182392"/>
    <n v="0"/>
    <n v="1700997.1993182392"/>
  </r>
  <r>
    <x v="0"/>
    <x v="7"/>
    <x v="1"/>
    <s v="Konventionel"/>
    <x v="0"/>
    <s v="Majs"/>
    <n v="87052.305295785307"/>
    <n v="3874698.1087154048"/>
    <n v="0"/>
    <n v="3874698.1087154048"/>
  </r>
  <r>
    <x v="0"/>
    <x v="8"/>
    <x v="1"/>
    <s v="Konventionel"/>
    <x v="0"/>
    <s v="Frugt"/>
    <n v="3155.9435616144051"/>
    <n v="26793.960838106304"/>
    <n v="0"/>
    <n v="26793.960838106304"/>
  </r>
  <r>
    <x v="0"/>
    <x v="9"/>
    <x v="1"/>
    <s v="Konventionel"/>
    <x v="0"/>
    <s v="Øvrige"/>
    <n v="43477.4503319453"/>
    <n v="1295451.653970618"/>
    <n v="0"/>
    <n v="1295451.653970618"/>
  </r>
  <r>
    <x v="0"/>
    <x v="10"/>
    <x v="1"/>
    <s v="Konventionel"/>
    <x v="0"/>
    <s v="Halm"/>
    <n v="62794.725438569862"/>
    <n v="897265.08822235989"/>
    <n v="156672.21267540852"/>
    <n v="156672.21267540852"/>
  </r>
  <r>
    <x v="0"/>
    <x v="11"/>
    <x v="1"/>
    <s v="Konventionel"/>
    <x v="0"/>
    <s v="Juletræer"/>
    <n v="11793.931779450841"/>
    <n v="589696.58897254209"/>
    <n v="0"/>
    <n v="589696.58897254209"/>
  </r>
  <r>
    <x v="0"/>
    <x v="12"/>
    <x v="1"/>
    <s v="Konventionel"/>
    <x v="0"/>
    <s v="Pil &amp; poppel"/>
    <n v="4535.2843920639016"/>
    <n v="110616.69248936347"/>
    <n v="0"/>
    <n v="110616.69248936347"/>
  </r>
  <r>
    <x v="0"/>
    <x v="13"/>
    <x v="1"/>
    <s v="Konventionel"/>
    <x v="0"/>
    <s v="Græs"/>
    <n v="170995.5996881497"/>
    <n v="2358029.3196995845"/>
    <n v="0"/>
    <n v="2358029.3196995845"/>
  </r>
  <r>
    <x v="0"/>
    <x v="0"/>
    <x v="2"/>
    <s v="Konventionel"/>
    <x v="0"/>
    <s v="Korn"/>
    <n v="0"/>
    <n v="0"/>
    <n v="0"/>
    <n v="0"/>
  </r>
  <r>
    <x v="0"/>
    <x v="1"/>
    <x v="2"/>
    <s v="Konventionel"/>
    <x v="0"/>
    <s v="Halm"/>
    <n v="337598.06480333197"/>
    <n v="1303128.5301408616"/>
    <n v="442315.41413725627"/>
    <n v="442315.41413725627"/>
  </r>
  <r>
    <x v="0"/>
    <x v="2"/>
    <x v="2"/>
    <s v="Konventionel"/>
    <x v="0"/>
    <s v="Halm"/>
    <n v="202558.83888199917"/>
    <n v="891258.89108079637"/>
    <n v="544247.24183848815"/>
    <n v="544247.24183848815"/>
  </r>
  <r>
    <x v="0"/>
    <x v="3"/>
    <x v="2"/>
    <s v="Konventionel"/>
    <x v="0"/>
    <s v="Græs"/>
    <n v="472637.29072466469"/>
    <n v="23452262.365757864"/>
    <n v="0"/>
    <n v="23452262.365757864"/>
  </r>
  <r>
    <x v="0"/>
    <x v="4"/>
    <x v="2"/>
    <s v="Konventionel"/>
    <x v="0"/>
    <s v="Grøntsager"/>
    <n v="135039.22592133281"/>
    <n v="2802063.9378676559"/>
    <n v="0"/>
    <n v="2802063.9378676559"/>
  </r>
  <r>
    <x v="0"/>
    <x v="5"/>
    <x v="2"/>
    <s v="Konventionel"/>
    <x v="0"/>
    <s v="Kartofler"/>
    <n v="0"/>
    <n v="0"/>
    <n v="0"/>
    <n v="0"/>
  </r>
  <r>
    <x v="0"/>
    <x v="6"/>
    <x v="2"/>
    <s v="Konventionel"/>
    <x v="0"/>
    <s v="Roer"/>
    <n v="0"/>
    <n v="0"/>
    <n v="0"/>
    <n v="0"/>
  </r>
  <r>
    <x v="0"/>
    <x v="7"/>
    <x v="2"/>
    <s v="Konventionel"/>
    <x v="0"/>
    <s v="Majs"/>
    <n v="0"/>
    <n v="0"/>
    <n v="0"/>
    <n v="0"/>
  </r>
  <r>
    <x v="0"/>
    <x v="8"/>
    <x v="2"/>
    <s v="Konventionel"/>
    <x v="0"/>
    <s v="Frugt"/>
    <n v="188373.71840347553"/>
    <n v="1599292.8692455075"/>
    <n v="0"/>
    <n v="1599292.8692455075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10245.338260561472"/>
    <n v="512266.91302807361"/>
    <n v="0"/>
    <n v="512266.91302807361"/>
  </r>
  <r>
    <x v="0"/>
    <x v="12"/>
    <x v="2"/>
    <s v="Konventionel"/>
    <x v="0"/>
    <s v="Pil &amp; poppel"/>
    <n v="3939.7822179621876"/>
    <n v="96092.249218589946"/>
    <n v="0"/>
    <n v="96092.249218589946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99671.748639212907"/>
    <n v="468128.30183379131"/>
    <n v="160596.62254123858"/>
    <n v="160596.62254123858"/>
  </r>
  <r>
    <x v="0"/>
    <x v="1"/>
    <x v="1"/>
    <s v="Økologisk"/>
    <x v="0"/>
    <s v="Halm"/>
    <n v="29658.422765814572"/>
    <n v="65254.461769345216"/>
    <n v="20361.698420380486"/>
    <n v="20361.698420380486"/>
  </r>
  <r>
    <x v="0"/>
    <x v="2"/>
    <x v="1"/>
    <s v="Økologisk"/>
    <x v="0"/>
    <s v="Halm"/>
    <n v="15881.766583829967"/>
    <n v="38433.875132868525"/>
    <n v="21575.730266480681"/>
    <n v="21575.730266480681"/>
  </r>
  <r>
    <x v="0"/>
    <x v="3"/>
    <x v="1"/>
    <s v="Økologisk"/>
    <x v="0"/>
    <s v="Græs"/>
    <n v="21879.164335436981"/>
    <n v="846802.42477301881"/>
    <n v="0"/>
    <n v="846802.42477301881"/>
  </r>
  <r>
    <x v="0"/>
    <x v="4"/>
    <x v="1"/>
    <s v="Økologisk"/>
    <x v="0"/>
    <s v="Grøntsager"/>
    <n v="7293.0547784789933"/>
    <n v="86258.605392460304"/>
    <n v="0"/>
    <n v="86258.605392460304"/>
  </r>
  <r>
    <x v="0"/>
    <x v="5"/>
    <x v="1"/>
    <s v="Økologisk"/>
    <x v="0"/>
    <s v="Kartofler"/>
    <n v="5323.269663479693"/>
    <n v="128867.90891845687"/>
    <n v="0"/>
    <n v="128867.90891845687"/>
  </r>
  <r>
    <x v="0"/>
    <x v="6"/>
    <x v="1"/>
    <s v="Økologisk"/>
    <x v="0"/>
    <s v="Roer"/>
    <n v="3273.8309953351877"/>
    <n v="151626.26097021959"/>
    <n v="0"/>
    <n v="151626.26097021959"/>
  </r>
  <r>
    <x v="0"/>
    <x v="7"/>
    <x v="1"/>
    <s v="Økologisk"/>
    <x v="0"/>
    <s v="Majs"/>
    <n v="13613.702253160789"/>
    <n v="502935.08644919499"/>
    <n v="0"/>
    <n v="502935.08644919499"/>
  </r>
  <r>
    <x v="0"/>
    <x v="8"/>
    <x v="1"/>
    <s v="Økologisk"/>
    <x v="0"/>
    <s v="Frugt"/>
    <n v="493.54323047064037"/>
    <n v="2388.4037552165701"/>
    <n v="0"/>
    <n v="2388.4037552165701"/>
  </r>
  <r>
    <x v="0"/>
    <x v="9"/>
    <x v="1"/>
    <s v="Økologisk"/>
    <x v="0"/>
    <s v="Øvrige"/>
    <n v="6799.2347995216924"/>
    <n v="115476.08111170237"/>
    <n v="0"/>
    <n v="115476.08111170237"/>
  </r>
  <r>
    <x v="0"/>
    <x v="10"/>
    <x v="1"/>
    <s v="Økologisk"/>
    <x v="0"/>
    <s v="Halm"/>
    <n v="9820.1729671030407"/>
    <n v="79981.87797181512"/>
    <n v="13965.703068426281"/>
    <n v="13965.703068426281"/>
  </r>
  <r>
    <x v="0"/>
    <x v="11"/>
    <x v="1"/>
    <s v="Økologisk"/>
    <x v="0"/>
    <s v="Juletræer"/>
    <n v="1844.3977456310754"/>
    <n v="52565.335750485647"/>
    <n v="0"/>
    <n v="52565.335750485647"/>
  </r>
  <r>
    <x v="0"/>
    <x v="12"/>
    <x v="1"/>
    <s v="Økologisk"/>
    <x v="0"/>
    <s v="Pil &amp; poppel"/>
    <n v="709.25188181035526"/>
    <n v="9860.3310398024987"/>
    <n v="0"/>
    <n v="9860.3310398024987"/>
  </r>
  <r>
    <x v="0"/>
    <x v="13"/>
    <x v="1"/>
    <s v="Økologisk"/>
    <x v="0"/>
    <s v="Græs"/>
    <n v="26741.200854422976"/>
    <n v="368761.15978249285"/>
    <n v="0"/>
    <n v="368761.15978249285"/>
  </r>
  <r>
    <x v="0"/>
    <x v="0"/>
    <x v="2"/>
    <s v="Økologisk"/>
    <x v="0"/>
    <s v="Korn"/>
    <n v="0"/>
    <n v="0"/>
    <n v="0"/>
    <n v="0"/>
  </r>
  <r>
    <x v="0"/>
    <x v="1"/>
    <x v="2"/>
    <s v="Økologisk"/>
    <x v="0"/>
    <s v="Halm"/>
    <n v="71611.710715858295"/>
    <n v="157560.08591703142"/>
    <n v="53479.9546184137"/>
    <n v="53479.9546184137"/>
  </r>
  <r>
    <x v="0"/>
    <x v="2"/>
    <x v="2"/>
    <s v="Økologisk"/>
    <x v="0"/>
    <s v="Halm"/>
    <n v="42967.026429514983"/>
    <n v="103980.20395942628"/>
    <n v="63495.511547823648"/>
    <n v="63495.511547823648"/>
  </r>
  <r>
    <x v="0"/>
    <x v="3"/>
    <x v="2"/>
    <s v="Økologisk"/>
    <x v="0"/>
    <s v="Græs"/>
    <n v="100256.39500220161"/>
    <n v="3880283.4096072102"/>
    <n v="0"/>
    <n v="3880283.4096072102"/>
  </r>
  <r>
    <x v="0"/>
    <x v="4"/>
    <x v="2"/>
    <s v="Økologisk"/>
    <x v="0"/>
    <s v="Grøntsager"/>
    <n v="28644.684286343319"/>
    <n v="338795.00339672563"/>
    <n v="0"/>
    <n v="338795.00339672563"/>
  </r>
  <r>
    <x v="0"/>
    <x v="5"/>
    <x v="2"/>
    <s v="Økologisk"/>
    <x v="0"/>
    <s v="Kartofler"/>
    <n v="0"/>
    <n v="0"/>
    <n v="0"/>
    <n v="0"/>
  </r>
  <r>
    <x v="0"/>
    <x v="6"/>
    <x v="2"/>
    <s v="Økologisk"/>
    <x v="0"/>
    <s v="Roer"/>
    <n v="0"/>
    <n v="0"/>
    <n v="0"/>
    <n v="0"/>
  </r>
  <r>
    <x v="0"/>
    <x v="7"/>
    <x v="2"/>
    <s v="Økologisk"/>
    <x v="0"/>
    <s v="Majs"/>
    <n v="0"/>
    <n v="0"/>
    <n v="0"/>
    <n v="0"/>
  </r>
  <r>
    <x v="0"/>
    <x v="8"/>
    <x v="2"/>
    <s v="Økologisk"/>
    <x v="0"/>
    <s v="Frugt"/>
    <n v="39958.061479525117"/>
    <n v="193369.0469178659"/>
    <n v="0"/>
    <n v="193369.0469178659"/>
  </r>
  <r>
    <x v="0"/>
    <x v="9"/>
    <x v="2"/>
    <s v="Økologisk"/>
    <x v="0"/>
    <s v="Øvrige"/>
    <n v="0"/>
    <n v="0"/>
    <n v="0"/>
    <n v="0"/>
  </r>
  <r>
    <x v="0"/>
    <x v="10"/>
    <x v="2"/>
    <s v="Økologisk"/>
    <x v="0"/>
    <s v="Frø"/>
    <n v="0"/>
    <n v="0"/>
    <n v="0"/>
    <n v="0"/>
  </r>
  <r>
    <x v="0"/>
    <x v="11"/>
    <x v="2"/>
    <s v="Økologisk"/>
    <x v="0"/>
    <s v="Juletræer"/>
    <n v="2173.2535704221305"/>
    <n v="61937.726757030716"/>
    <n v="0"/>
    <n v="61937.726757030716"/>
  </r>
  <r>
    <x v="0"/>
    <x v="12"/>
    <x v="2"/>
    <s v="Økologisk"/>
    <x v="0"/>
    <s v="Pil &amp; poppel"/>
    <n v="835.7113795677368"/>
    <n v="11618.426496429513"/>
    <n v="0"/>
    <n v="11618.426496429513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6851.178700525419"/>
    <n v="141752.11522881981"/>
    <n v="48629.640324347674"/>
    <n v="48629.640324347674"/>
  </r>
  <r>
    <x v="0"/>
    <x v="1"/>
    <x v="1"/>
    <s v="Konventionel"/>
    <x v="1"/>
    <s v="Halm"/>
    <n v="1444.5538636691219"/>
    <n v="6691.1734965153728"/>
    <n v="2087.8826232000652"/>
    <n v="2087.8826232000652"/>
  </r>
  <r>
    <x v="0"/>
    <x v="2"/>
    <x v="1"/>
    <s v="Konventionel"/>
    <x v="1"/>
    <s v="Halm"/>
    <n v="1546.8037177185506"/>
    <n v="8167.1236295539466"/>
    <n v="4584.8006706344586"/>
    <n v="4584.8006706344586"/>
  </r>
  <r>
    <x v="0"/>
    <x v="3"/>
    <x v="1"/>
    <s v="Konventionel"/>
    <x v="1"/>
    <s v="Græs"/>
    <n v="14274.450695696209"/>
    <n v="849957.892224535"/>
    <n v="0"/>
    <n v="849957.892224535"/>
  </r>
  <r>
    <x v="0"/>
    <x v="4"/>
    <x v="1"/>
    <s v="Konventionel"/>
    <x v="1"/>
    <s v="Grøntsager"/>
    <n v="66.762142822909354"/>
    <n v="1662.377356290443"/>
    <n v="0"/>
    <n v="1662.377356290443"/>
  </r>
  <r>
    <x v="0"/>
    <x v="5"/>
    <x v="1"/>
    <s v="Konventionel"/>
    <x v="1"/>
    <s v="Kartofler"/>
    <n v="1054.0011940040383"/>
    <n v="53717.254503304226"/>
    <n v="0"/>
    <n v="53717.254503304226"/>
  </r>
  <r>
    <x v="0"/>
    <x v="6"/>
    <x v="1"/>
    <s v="Konventionel"/>
    <x v="1"/>
    <s v="Roer"/>
    <n v="27.652057994053425"/>
    <n v="2696.199469605257"/>
    <n v="0"/>
    <n v="2696.199469605257"/>
  </r>
  <r>
    <x v="0"/>
    <x v="7"/>
    <x v="1"/>
    <s v="Konventionel"/>
    <x v="1"/>
    <s v="Majs"/>
    <n v="3569.4651454094223"/>
    <n v="190652.27234660808"/>
    <n v="0"/>
    <n v="190652.27234660808"/>
  </r>
  <r>
    <x v="0"/>
    <x v="8"/>
    <x v="1"/>
    <s v="Konventionel"/>
    <x v="1"/>
    <s v="Frugt"/>
    <n v="60.808907260539151"/>
    <n v="619.52114717037284"/>
    <n v="0"/>
    <n v="619.52114717037284"/>
  </r>
  <r>
    <x v="0"/>
    <x v="9"/>
    <x v="1"/>
    <s v="Konventionel"/>
    <x v="1"/>
    <s v="Øvrige"/>
    <n v="1075.4603376621412"/>
    <n v="38453.226559531351"/>
    <n v="0"/>
    <n v="38453.226559531351"/>
  </r>
  <r>
    <x v="0"/>
    <x v="10"/>
    <x v="1"/>
    <s v="Konventionel"/>
    <x v="1"/>
    <s v="Halm"/>
    <n v="2654.553265707737"/>
    <n v="45516.650390828472"/>
    <n v="7947.7006560371638"/>
    <n v="7947.7006560371638"/>
  </r>
  <r>
    <x v="0"/>
    <x v="11"/>
    <x v="1"/>
    <s v="Konventionel"/>
    <x v="1"/>
    <s v="Juletræer"/>
    <n v="304.98975247773001"/>
    <n v="18299.385148663798"/>
    <n v="0"/>
    <n v="18299.385148663798"/>
  </r>
  <r>
    <x v="0"/>
    <x v="12"/>
    <x v="1"/>
    <s v="Konventionel"/>
    <x v="1"/>
    <s v="Pil &amp; poppel"/>
    <n v="500.90563602022252"/>
    <n v="14660.65276156749"/>
    <n v="0"/>
    <n v="14660.65276156749"/>
  </r>
  <r>
    <x v="0"/>
    <x v="13"/>
    <x v="1"/>
    <s v="Konventionel"/>
    <x v="1"/>
    <s v="Græs"/>
    <n v="14158.130367806998"/>
    <n v="234288.74132647022"/>
    <n v="0"/>
    <n v="234288.74132647022"/>
  </r>
  <r>
    <x v="0"/>
    <x v="0"/>
    <x v="2"/>
    <s v="Konventionel"/>
    <x v="1"/>
    <s v="Halm"/>
    <n v="1830.4013535168494"/>
    <n v="15397.336185783737"/>
    <n v="5745.900931129846"/>
    <n v="5745.900931129846"/>
  </r>
  <r>
    <x v="0"/>
    <x v="1"/>
    <x v="2"/>
    <s v="Konventionel"/>
    <x v="1"/>
    <s v="Halm"/>
    <n v="156.90969719557435"/>
    <n v="726.80571740990047"/>
    <n v="246.69659550676531"/>
    <n v="246.69659550676531"/>
  </r>
  <r>
    <x v="0"/>
    <x v="2"/>
    <x v="2"/>
    <s v="Konventionel"/>
    <x v="1"/>
    <s v="Halm"/>
    <n v="168.0162360659466"/>
    <n v="887.12572642819816"/>
    <n v="541.72332484337903"/>
    <n v="541.72332484337903"/>
  </r>
  <r>
    <x v="0"/>
    <x v="3"/>
    <x v="2"/>
    <s v="Konventionel"/>
    <x v="1"/>
    <s v="Græs"/>
    <n v="1550.5131325500222"/>
    <n v="92323.753964558535"/>
    <n v="0"/>
    <n v="92323.753964558535"/>
  </r>
  <r>
    <x v="0"/>
    <x v="4"/>
    <x v="2"/>
    <s v="Konventionel"/>
    <x v="1"/>
    <s v="Grøntsager"/>
    <n v="7.2518082419319594"/>
    <n v="180.57002522410579"/>
    <n v="0"/>
    <n v="180.57002522410579"/>
  </r>
  <r>
    <x v="0"/>
    <x v="5"/>
    <x v="2"/>
    <s v="Konventionel"/>
    <x v="1"/>
    <s v="Kartofler"/>
    <n v="114.48725613794682"/>
    <n v="5834.8520953606294"/>
    <n v="0"/>
    <n v="5834.8520953606294"/>
  </r>
  <r>
    <x v="0"/>
    <x v="6"/>
    <x v="2"/>
    <s v="Konventionel"/>
    <x v="1"/>
    <s v="Roer"/>
    <n v="3.0036097343305523"/>
    <n v="292.86539809603926"/>
    <n v="0"/>
    <n v="292.86539809603926"/>
  </r>
  <r>
    <x v="0"/>
    <x v="7"/>
    <x v="2"/>
    <s v="Konventionel"/>
    <x v="1"/>
    <s v="Majs"/>
    <n v="387.72087992188403"/>
    <n v="20708.947638387672"/>
    <n v="0"/>
    <n v="20708.947638387672"/>
  </r>
  <r>
    <x v="0"/>
    <x v="8"/>
    <x v="2"/>
    <s v="Konventionel"/>
    <x v="1"/>
    <s v="Frugt"/>
    <n v="6.6051584956547265"/>
    <n v="67.293354753730355"/>
    <n v="0"/>
    <n v="67.293354753730355"/>
  </r>
  <r>
    <x v="0"/>
    <x v="9"/>
    <x v="2"/>
    <s v="Konventionel"/>
    <x v="1"/>
    <s v="Øvrige"/>
    <n v="116.81818184321391"/>
    <n v="4176.8495363153243"/>
    <n v="0"/>
    <n v="4176.8495363153243"/>
  </r>
  <r>
    <x v="0"/>
    <x v="10"/>
    <x v="2"/>
    <s v="Konventionel"/>
    <x v="1"/>
    <s v="Halm"/>
    <n v="288.34172237355216"/>
    <n v="4944.0896665779219"/>
    <n v="939.07132142618457"/>
    <n v="939.07132142618457"/>
  </r>
  <r>
    <x v="0"/>
    <x v="11"/>
    <x v="2"/>
    <s v="Konventionel"/>
    <x v="1"/>
    <s v="Juletræer"/>
    <n v="33.128463335719047"/>
    <n v="1987.7078001431428"/>
    <n v="0"/>
    <n v="1987.7078001431428"/>
  </r>
  <r>
    <x v="0"/>
    <x v="12"/>
    <x v="2"/>
    <s v="Konventionel"/>
    <x v="1"/>
    <s v="Pil &amp; poppel"/>
    <n v="54.409152644440603"/>
    <n v="1592.4630042275298"/>
    <n v="0"/>
    <n v="1592.4630042275298"/>
  </r>
  <r>
    <x v="0"/>
    <x v="13"/>
    <x v="2"/>
    <s v="Konventionel"/>
    <x v="1"/>
    <s v="Græs"/>
    <n v="1537.8782368318195"/>
    <n v="25448.809063092951"/>
    <n v="0"/>
    <n v="25448.80906309295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635.2769023667065"/>
    <n v="14852.526032814852"/>
    <n v="5095.3243111602642"/>
    <n v="5095.3243111602642"/>
  </r>
  <r>
    <x v="0"/>
    <x v="1"/>
    <x v="1"/>
    <s v="Økologisk"/>
    <x v="1"/>
    <s v="Halm"/>
    <n v="225.90701213281457"/>
    <n v="596.44872971354232"/>
    <n v="186.11308450560904"/>
    <n v="186.11308450560904"/>
  </r>
  <r>
    <x v="0"/>
    <x v="2"/>
    <x v="1"/>
    <s v="Økologisk"/>
    <x v="1"/>
    <s v="Halm"/>
    <n v="241.89738784691369"/>
    <n v="702.4700143074374"/>
    <n v="394.34752536900641"/>
    <n v="394.34752536900641"/>
  </r>
  <r>
    <x v="0"/>
    <x v="3"/>
    <x v="1"/>
    <s v="Økologisk"/>
    <x v="1"/>
    <s v="Græs"/>
    <n v="2232.3144796492898"/>
    <n v="103678.32803346511"/>
    <n v="0"/>
    <n v="103678.32803346511"/>
  </r>
  <r>
    <x v="0"/>
    <x v="4"/>
    <x v="1"/>
    <s v="Økologisk"/>
    <x v="1"/>
    <s v="Grøntsager"/>
    <n v="10.440618787588701"/>
    <n v="148.18370245224639"/>
    <n v="0"/>
    <n v="148.18370245224639"/>
  </r>
  <r>
    <x v="0"/>
    <x v="5"/>
    <x v="1"/>
    <s v="Økologisk"/>
    <x v="1"/>
    <s v="Kartofler"/>
    <n v="164.83030955805884"/>
    <n v="4788.3361907863282"/>
    <n v="0"/>
    <n v="4788.3361907863282"/>
  </r>
  <r>
    <x v="0"/>
    <x v="6"/>
    <x v="1"/>
    <s v="Økologisk"/>
    <x v="1"/>
    <s v="Roer"/>
    <n v="4.3243758213994576"/>
    <n v="240.3382231140578"/>
    <n v="0"/>
    <n v="240.3382231140578"/>
  </r>
  <r>
    <x v="0"/>
    <x v="7"/>
    <x v="1"/>
    <s v="Økologisk"/>
    <x v="1"/>
    <s v="Majs"/>
    <n v="558.21193393475642"/>
    <n v="24746.629126718264"/>
    <n v="0"/>
    <n v="24746.629126718264"/>
  </r>
  <r>
    <x v="0"/>
    <x v="8"/>
    <x v="1"/>
    <s v="Økologisk"/>
    <x v="1"/>
    <s v="Frugt"/>
    <n v="9.5096201642477052"/>
    <n v="55.223885833012702"/>
    <n v="0"/>
    <n v="55.223885833012702"/>
  </r>
  <r>
    <x v="0"/>
    <x v="9"/>
    <x v="1"/>
    <s v="Økologisk"/>
    <x v="1"/>
    <s v="Øvrige"/>
    <n v="168.18620451542492"/>
    <n v="3427.706387640942"/>
    <n v="0"/>
    <n v="3427.706387640942"/>
  </r>
  <r>
    <x v="0"/>
    <x v="10"/>
    <x v="1"/>
    <s v="Økologisk"/>
    <x v="1"/>
    <s v="Halm"/>
    <n v="415.13315071565842"/>
    <n v="4057.3373744625455"/>
    <n v="708.45509579232339"/>
    <n v="708.45509579232339"/>
  </r>
  <r>
    <x v="0"/>
    <x v="11"/>
    <x v="1"/>
    <s v="Økologisk"/>
    <x v="1"/>
    <s v="Juletræer"/>
    <n v="47.695918751252741"/>
    <n v="1631.2004212928437"/>
    <n v="0"/>
    <n v="1631.2004212928437"/>
  </r>
  <r>
    <x v="0"/>
    <x v="12"/>
    <x v="1"/>
    <s v="Økologisk"/>
    <x v="1"/>
    <s v="Pil &amp; poppel"/>
    <n v="78.334286065593687"/>
    <n v="1306.8451626552703"/>
    <n v="0"/>
    <n v="1306.8451626552703"/>
  </r>
  <r>
    <x v="0"/>
    <x v="13"/>
    <x v="1"/>
    <s v="Økologisk"/>
    <x v="1"/>
    <s v="Græs"/>
    <n v="2214.1236884405648"/>
    <n v="36639.318796314466"/>
    <n v="0"/>
    <n v="36639.318796314466"/>
  </r>
  <r>
    <x v="0"/>
    <x v="0"/>
    <x v="2"/>
    <s v="Økologisk"/>
    <x v="1"/>
    <s v="Halm"/>
    <n v="388.26695377630136"/>
    <n v="2188.2880821613853"/>
    <n v="816.61440506057488"/>
    <n v="816.61440506057488"/>
  </r>
  <r>
    <x v="0"/>
    <x v="1"/>
    <x v="2"/>
    <s v="Økologisk"/>
    <x v="1"/>
    <s v="Halm"/>
    <n v="33.283875162697591"/>
    <n v="87.877418559560681"/>
    <n v="29.827861093090707"/>
    <n v="29.827861093090707"/>
  </r>
  <r>
    <x v="0"/>
    <x v="2"/>
    <x v="2"/>
    <s v="Økologisk"/>
    <x v="1"/>
    <s v="Halm"/>
    <n v="35.63980765035231"/>
    <n v="103.49800141662314"/>
    <n v="63.201054565060886"/>
    <n v="63.201054565060886"/>
  </r>
  <r>
    <x v="0"/>
    <x v="3"/>
    <x v="2"/>
    <s v="Økologisk"/>
    <x v="1"/>
    <s v="Græs"/>
    <n v="328.89672508636835"/>
    <n v="15275.384746863321"/>
    <n v="0"/>
    <n v="15275.384746863321"/>
  </r>
  <r>
    <x v="0"/>
    <x v="4"/>
    <x v="2"/>
    <s v="Økologisk"/>
    <x v="1"/>
    <s v="Grøntsager"/>
    <n v="1.5382623543492036"/>
    <n v="21.832557595278246"/>
    <n v="0"/>
    <n v="21.832557595278246"/>
  </r>
  <r>
    <x v="0"/>
    <x v="5"/>
    <x v="2"/>
    <s v="Økologisk"/>
    <x v="1"/>
    <s v="Kartofler"/>
    <n v="24.285175544412962"/>
    <n v="705.48666243905791"/>
    <n v="0"/>
    <n v="705.48666243905791"/>
  </r>
  <r>
    <x v="0"/>
    <x v="6"/>
    <x v="2"/>
    <s v="Økologisk"/>
    <x v="1"/>
    <s v="Roer"/>
    <n v="0.63712933758526868"/>
    <n v="35.410089042521115"/>
    <n v="0"/>
    <n v="35.410089042521115"/>
  </r>
  <r>
    <x v="0"/>
    <x v="7"/>
    <x v="2"/>
    <s v="Økologisk"/>
    <x v="1"/>
    <s v="Majs"/>
    <n v="82.243823013732964"/>
    <n v="3646.0298720918895"/>
    <n v="0"/>
    <n v="3646.0298720918895"/>
  </r>
  <r>
    <x v="0"/>
    <x v="8"/>
    <x v="2"/>
    <s v="Økologisk"/>
    <x v="1"/>
    <s v="Frugt"/>
    <n v="1.4010942263510027"/>
    <n v="8.136378347496489"/>
    <n v="0"/>
    <n v="8.136378347496489"/>
  </r>
  <r>
    <x v="0"/>
    <x v="9"/>
    <x v="2"/>
    <s v="Økologisk"/>
    <x v="1"/>
    <s v="Øvrige"/>
    <n v="24.77961433037871"/>
    <n v="505.01908029994365"/>
    <n v="0"/>
    <n v="505.01908029994365"/>
  </r>
  <r>
    <x v="0"/>
    <x v="10"/>
    <x v="2"/>
    <s v="Økologisk"/>
    <x v="1"/>
    <s v="Halm"/>
    <n v="61.163395654995902"/>
    <n v="597.78538695896668"/>
    <n v="113.54225977243867"/>
    <n v="113.54225977243867"/>
  </r>
  <r>
    <x v="0"/>
    <x v="11"/>
    <x v="2"/>
    <s v="Økologisk"/>
    <x v="1"/>
    <s v="Juletræer"/>
    <n v="7.0272497984858573"/>
    <n v="240.33194310821634"/>
    <n v="0"/>
    <n v="240.33194310821634"/>
  </r>
  <r>
    <x v="0"/>
    <x v="12"/>
    <x v="2"/>
    <s v="Økologisk"/>
    <x v="1"/>
    <s v="Pil &amp; poppel"/>
    <n v="11.541335409426795"/>
    <n v="192.54325414751042"/>
    <n v="0"/>
    <n v="192.54325414751042"/>
  </r>
  <r>
    <x v="0"/>
    <x v="13"/>
    <x v="2"/>
    <s v="Økologisk"/>
    <x v="1"/>
    <s v="Græs"/>
    <n v="326.21659569159806"/>
    <n v="5398.2322255045656"/>
    <n v="0"/>
    <n v="5398.2322255045656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6.7568307088786"/>
    <n v="81129.951536576918"/>
    <n v="27832.532561414399"/>
    <n v="27832.532561414399"/>
  </r>
  <r>
    <x v="0"/>
    <x v="1"/>
    <x v="1"/>
    <s v="Konventionel"/>
    <x v="2"/>
    <s v="Halm"/>
    <n v="475.99342925102297"/>
    <n v="2572.2684916725284"/>
    <n v="802.63868344842786"/>
    <n v="802.63868344842786"/>
  </r>
  <r>
    <x v="0"/>
    <x v="2"/>
    <x v="1"/>
    <s v="Konventionel"/>
    <x v="2"/>
    <s v="Halm"/>
    <n v="616.38993680991337"/>
    <n v="3796.9620107490664"/>
    <n v="2131.5110145096023"/>
    <n v="2131.5110145096023"/>
  </r>
  <r>
    <x v="0"/>
    <x v="3"/>
    <x v="1"/>
    <s v="Konventionel"/>
    <x v="2"/>
    <s v="Græs"/>
    <n v="14215.89771790568"/>
    <n v="987549.98266747175"/>
    <n v="0"/>
    <n v="987549.98266747175"/>
  </r>
  <r>
    <x v="0"/>
    <x v="4"/>
    <x v="1"/>
    <s v="Konventionel"/>
    <x v="2"/>
    <s v="Grøntsager"/>
    <n v="16.523315723463227"/>
    <n v="480.00232176660677"/>
    <n v="0"/>
    <n v="480.00232176660677"/>
  </r>
  <r>
    <x v="0"/>
    <x v="5"/>
    <x v="1"/>
    <s v="Konventionel"/>
    <x v="2"/>
    <s v="Kartofler"/>
    <n v="874.58394661057821"/>
    <n v="52002.113625504528"/>
    <n v="0"/>
    <n v="52002.113625504528"/>
  </r>
  <r>
    <x v="0"/>
    <x v="6"/>
    <x v="1"/>
    <s v="Konventionel"/>
    <x v="2"/>
    <s v="Roer"/>
    <n v="9.4578056299713129"/>
    <n v="1075.8747968565574"/>
    <n v="0"/>
    <n v="1075.8747968565574"/>
  </r>
  <r>
    <x v="0"/>
    <x v="7"/>
    <x v="1"/>
    <s v="Konventionel"/>
    <x v="2"/>
    <s v="Majs"/>
    <n v="1176.1707180927949"/>
    <n v="73291.902127234425"/>
    <n v="0"/>
    <n v="73291.902127234425"/>
  </r>
  <r>
    <x v="0"/>
    <x v="8"/>
    <x v="1"/>
    <s v="Konventionel"/>
    <x v="2"/>
    <s v="Frugt"/>
    <n v="33.705478633164141"/>
    <n v="400.62331903378896"/>
    <n v="0"/>
    <n v="400.62331903378896"/>
  </r>
  <r>
    <x v="0"/>
    <x v="9"/>
    <x v="1"/>
    <s v="Konventionel"/>
    <x v="2"/>
    <s v="Øvrige"/>
    <n v="596.11177153005485"/>
    <n v="24866.397736704123"/>
    <n v="0"/>
    <n v="24866.397736704123"/>
  </r>
  <r>
    <x v="0"/>
    <x v="10"/>
    <x v="1"/>
    <s v="Konventionel"/>
    <x v="2"/>
    <s v="Halm"/>
    <n v="1896.6283551983877"/>
    <n v="37940.921871912171"/>
    <n v="6624.896319541378"/>
    <n v="6624.896319541378"/>
  </r>
  <r>
    <x v="0"/>
    <x v="11"/>
    <x v="1"/>
    <s v="Konventionel"/>
    <x v="2"/>
    <s v="Juletræer"/>
    <n v="169.05131252281291"/>
    <n v="11833.591876596904"/>
    <n v="0"/>
    <n v="11833.591876596904"/>
  </r>
  <r>
    <x v="0"/>
    <x v="12"/>
    <x v="1"/>
    <s v="Konventionel"/>
    <x v="2"/>
    <s v="Pil &amp; poppel"/>
    <n v="399.04965430443821"/>
    <n v="13626.085756736917"/>
    <n v="0"/>
    <n v="13626.085756736917"/>
  </r>
  <r>
    <x v="0"/>
    <x v="13"/>
    <x v="1"/>
    <s v="Konventionel"/>
    <x v="2"/>
    <s v="Græs"/>
    <n v="14758.95687153021"/>
    <n v="284936.42136176227"/>
    <n v="0"/>
    <n v="284936.42136176227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2.799377456608"/>
    <n v="8500.6471705406311"/>
    <n v="2916.2415937164728"/>
    <n v="2916.2415937164728"/>
  </r>
  <r>
    <x v="0"/>
    <x v="1"/>
    <x v="1"/>
    <s v="Økologisk"/>
    <x v="2"/>
    <s v="Halm"/>
    <n v="74.438382743186438"/>
    <n v="229.29106159618232"/>
    <n v="71.546915262484092"/>
    <n v="71.546915262484092"/>
  </r>
  <r>
    <x v="0"/>
    <x v="2"/>
    <x v="1"/>
    <s v="Økologisk"/>
    <x v="2"/>
    <s v="Halm"/>
    <n v="96.394334912357877"/>
    <n v="326.58400668306854"/>
    <n v="183.33536270232733"/>
    <n v="183.33536270232733"/>
  </r>
  <r>
    <x v="0"/>
    <x v="3"/>
    <x v="1"/>
    <s v="Økologisk"/>
    <x v="2"/>
    <s v="Græs"/>
    <n v="2223.1576537275891"/>
    <n v="120461.88639353556"/>
    <n v="0"/>
    <n v="120461.88639353556"/>
  </r>
  <r>
    <x v="0"/>
    <x v="4"/>
    <x v="1"/>
    <s v="Økologisk"/>
    <x v="2"/>
    <s v="Grøntsager"/>
    <n v="2.5840039471658796"/>
    <n v="42.78722935914621"/>
    <n v="0"/>
    <n v="42.78722935914621"/>
  </r>
  <r>
    <x v="0"/>
    <x v="5"/>
    <x v="1"/>
    <s v="Økologisk"/>
    <x v="2"/>
    <s v="Kartofler"/>
    <n v="136.7720866678431"/>
    <n v="4635.4491675495001"/>
    <n v="0"/>
    <n v="4635.4491675495001"/>
  </r>
  <r>
    <x v="0"/>
    <x v="6"/>
    <x v="1"/>
    <s v="Økologisk"/>
    <x v="2"/>
    <s v="Roer"/>
    <n v="1.479061920040055"/>
    <n v="95.903081313030611"/>
    <n v="0"/>
    <n v="95.903081313030611"/>
  </r>
  <r>
    <x v="0"/>
    <x v="7"/>
    <x v="1"/>
    <s v="Økologisk"/>
    <x v="2"/>
    <s v="Majs"/>
    <n v="183.93582916151516"/>
    <n v="9513.275124447644"/>
    <n v="0"/>
    <n v="9513.275124447644"/>
  </r>
  <r>
    <x v="0"/>
    <x v="8"/>
    <x v="1"/>
    <s v="Økologisk"/>
    <x v="2"/>
    <s v="Frugt"/>
    <n v="5.2710419196030802"/>
    <n v="35.711414426149261"/>
    <n v="0"/>
    <n v="35.711414426149261"/>
  </r>
  <r>
    <x v="0"/>
    <x v="9"/>
    <x v="1"/>
    <s v="Økologisk"/>
    <x v="2"/>
    <s v="Øvrige"/>
    <n v="93.223127631604285"/>
    <n v="2216.5814935650428"/>
    <n v="0"/>
    <n v="2216.5814935650428"/>
  </r>
  <r>
    <x v="0"/>
    <x v="10"/>
    <x v="1"/>
    <s v="Økologisk"/>
    <x v="2"/>
    <s v="Halm"/>
    <n v="296.60482424723369"/>
    <n v="3382.0397373417254"/>
    <n v="590.54080668094912"/>
    <n v="590.54080668094912"/>
  </r>
  <r>
    <x v="0"/>
    <x v="11"/>
    <x v="1"/>
    <s v="Økologisk"/>
    <x v="2"/>
    <s v="Juletræer"/>
    <n v="26.437142892102489"/>
    <n v="1054.8420013948892"/>
    <n v="0"/>
    <n v="1054.8420013948892"/>
  </r>
  <r>
    <x v="0"/>
    <x v="12"/>
    <x v="1"/>
    <s v="Økologisk"/>
    <x v="2"/>
    <s v="Pil &amp; poppel"/>
    <n v="62.405506200768976"/>
    <n v="1214.6242426393571"/>
    <n v="0"/>
    <n v="1214.6242426393571"/>
  </r>
  <r>
    <x v="0"/>
    <x v="13"/>
    <x v="1"/>
    <s v="Økologisk"/>
    <x v="2"/>
    <s v="Græs"/>
    <n v="2308.0841309550201"/>
    <n v="44559.872232217625"/>
    <n v="0"/>
    <n v="44559.872232217625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90577.22290130702"/>
    <n v="1335946.3325381624"/>
    <n v="458311.25369163969"/>
    <n v="458311.25369163969"/>
  </r>
  <r>
    <x v="1"/>
    <x v="1"/>
    <x v="1"/>
    <s v="Konventionel"/>
    <x v="0"/>
    <s v="Halm"/>
    <n v="56708.344375510875"/>
    <n v="218894.209289472"/>
    <n v="68302.729877295278"/>
    <n v="68302.729877295278"/>
  </r>
  <r>
    <x v="1"/>
    <x v="2"/>
    <x v="1"/>
    <s v="Konventionel"/>
    <x v="0"/>
    <s v="Halm"/>
    <n v="30366.708838118309"/>
    <n v="133613.51888772057"/>
    <n v="75006.988848007444"/>
    <n v="75006.988848007444"/>
  </r>
  <r>
    <x v="1"/>
    <x v="3"/>
    <x v="1"/>
    <s v="Konventionel"/>
    <x v="0"/>
    <s v="Græs"/>
    <n v="41834.0245393113"/>
    <n v="2075804.2976406266"/>
    <n v="0"/>
    <n v="2075804.2976406266"/>
  </r>
  <r>
    <x v="1"/>
    <x v="4"/>
    <x v="1"/>
    <s v="Konventionel"/>
    <x v="0"/>
    <s v="Grøntsager"/>
    <n v="13944.674846437101"/>
    <n v="289352.00306356989"/>
    <n v="0"/>
    <n v="289352.00306356989"/>
  </r>
  <r>
    <x v="1"/>
    <x v="5"/>
    <x v="1"/>
    <s v="Konventionel"/>
    <x v="0"/>
    <s v="Kartofler"/>
    <n v="10178.350064800734"/>
    <n v="432283.68238177506"/>
    <n v="0"/>
    <n v="432283.68238177506"/>
  </r>
  <r>
    <x v="1"/>
    <x v="6"/>
    <x v="1"/>
    <s v="Konventionel"/>
    <x v="0"/>
    <s v="Roer"/>
    <n v="6259.7238220193121"/>
    <n v="508625.91771750944"/>
    <n v="0"/>
    <n v="508625.91771750944"/>
  </r>
  <r>
    <x v="1"/>
    <x v="7"/>
    <x v="1"/>
    <s v="Konventionel"/>
    <x v="0"/>
    <s v="Majs"/>
    <n v="26030.059713349256"/>
    <n v="1158597.9578411754"/>
    <n v="0"/>
    <n v="1158597.9578411754"/>
  </r>
  <r>
    <x v="1"/>
    <x v="8"/>
    <x v="1"/>
    <s v="Konventionel"/>
    <x v="0"/>
    <s v="Frugt"/>
    <n v="943.67862036113604"/>
    <n v="8011.8314868660455"/>
    <n v="0"/>
    <n v="8011.8314868660455"/>
  </r>
  <r>
    <x v="1"/>
    <x v="9"/>
    <x v="1"/>
    <s v="Konventionel"/>
    <x v="0"/>
    <s v="Øvrige"/>
    <n v="13000.467069532109"/>
    <n v="387361.18238381506"/>
    <n v="0"/>
    <n v="387361.18238381506"/>
  </r>
  <r>
    <x v="1"/>
    <x v="10"/>
    <x v="1"/>
    <s v="Konventionel"/>
    <x v="0"/>
    <s v="Halm"/>
    <n v="18776.64752582357"/>
    <n v="268296.90202658431"/>
    <n v="46847.548005841112"/>
    <n v="46847.548005841112"/>
  </r>
  <r>
    <x v="1"/>
    <x v="11"/>
    <x v="1"/>
    <s v="Konventionel"/>
    <x v="0"/>
    <s v="Juletræer"/>
    <n v="3526.5780432943488"/>
    <n v="176328.90216471744"/>
    <n v="0"/>
    <n v="176328.90216471744"/>
  </r>
  <r>
    <x v="1"/>
    <x v="12"/>
    <x v="1"/>
    <s v="Konventionel"/>
    <x v="0"/>
    <s v="Pil &amp; poppel"/>
    <n v="1356.1240353293651"/>
    <n v="33076.195983643054"/>
    <n v="0"/>
    <n v="33076.195983643054"/>
  </r>
  <r>
    <x v="1"/>
    <x v="13"/>
    <x v="1"/>
    <s v="Konventionel"/>
    <x v="0"/>
    <s v="Græs"/>
    <n v="51130.474436936034"/>
    <n v="705089.24248534802"/>
    <n v="0"/>
    <n v="705089.24248534802"/>
  </r>
  <r>
    <x v="1"/>
    <x v="0"/>
    <x v="2"/>
    <s v="Konventionel"/>
    <x v="0"/>
    <s v="Korn"/>
    <n v="0"/>
    <n v="0"/>
    <n v="0"/>
    <n v="0"/>
  </r>
  <r>
    <x v="1"/>
    <x v="1"/>
    <x v="2"/>
    <s v="Konventionel"/>
    <x v="0"/>
    <s v="Halm"/>
    <n v="105826.23519666794"/>
    <n v="408489.26785913832"/>
    <n v="138651.78722179355"/>
    <n v="138651.78722179355"/>
  </r>
  <r>
    <x v="1"/>
    <x v="2"/>
    <x v="2"/>
    <s v="Konventionel"/>
    <x v="0"/>
    <s v="Halm"/>
    <n v="63495.741118000762"/>
    <n v="279381.26091920334"/>
    <n v="170604.16698031151"/>
    <n v="170604.16698031151"/>
  </r>
  <r>
    <x v="1"/>
    <x v="3"/>
    <x v="2"/>
    <s v="Konventionel"/>
    <x v="0"/>
    <s v="Græs"/>
    <n v="148156.72927533509"/>
    <n v="7351536.9066421278"/>
    <n v="0"/>
    <n v="7351536.9066421278"/>
  </r>
  <r>
    <x v="1"/>
    <x v="4"/>
    <x v="2"/>
    <s v="Konventionel"/>
    <x v="0"/>
    <s v="Grøntsager"/>
    <n v="42330.49407866718"/>
    <n v="878357.75213234406"/>
    <n v="0"/>
    <n v="878357.75213234406"/>
  </r>
  <r>
    <x v="1"/>
    <x v="5"/>
    <x v="2"/>
    <s v="Konventionel"/>
    <x v="0"/>
    <s v="Kartofler"/>
    <n v="0"/>
    <n v="0"/>
    <n v="0"/>
    <n v="0"/>
  </r>
  <r>
    <x v="1"/>
    <x v="6"/>
    <x v="2"/>
    <s v="Konventionel"/>
    <x v="0"/>
    <s v="Roer"/>
    <n v="0"/>
    <n v="0"/>
    <n v="0"/>
    <n v="0"/>
  </r>
  <r>
    <x v="1"/>
    <x v="7"/>
    <x v="2"/>
    <s v="Konventionel"/>
    <x v="0"/>
    <s v="Majs"/>
    <n v="0"/>
    <n v="0"/>
    <n v="0"/>
    <n v="0"/>
  </r>
  <r>
    <x v="1"/>
    <x v="8"/>
    <x v="2"/>
    <s v="Konventionel"/>
    <x v="0"/>
    <s v="Frugt"/>
    <n v="59049.1578802449"/>
    <n v="501327.3504032793"/>
    <n v="0"/>
    <n v="501327.3504032793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3211.5870600834623"/>
    <n v="160579.35300417314"/>
    <n v="0"/>
    <n v="160579.35300417314"/>
  </r>
  <r>
    <x v="1"/>
    <x v="12"/>
    <x v="2"/>
    <s v="Konventionel"/>
    <x v="0"/>
    <s v="Pil &amp; poppel"/>
    <n v="1234.9961776724069"/>
    <n v="30121.857992009926"/>
    <n v="0"/>
    <n v="30121.857992009926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9803.479184120606"/>
    <n v="139978.00068405925"/>
    <n v="48021.010590204845"/>
    <n v="48021.010590204845"/>
  </r>
  <r>
    <x v="1"/>
    <x v="1"/>
    <x v="1"/>
    <s v="Økologisk"/>
    <x v="0"/>
    <s v="Halm"/>
    <n v="8868.3523425919848"/>
    <n v="19512.148824170883"/>
    <n v="6088.4800689290223"/>
    <n v="6088.4800689290223"/>
  </r>
  <r>
    <x v="1"/>
    <x v="2"/>
    <x v="1"/>
    <s v="Økologisk"/>
    <x v="0"/>
    <s v="Halm"/>
    <n v="4748.9073508841821"/>
    <n v="11492.355789139723"/>
    <n v="6451.4954002349659"/>
    <n v="6451.4954002349659"/>
  </r>
  <r>
    <x v="1"/>
    <x v="3"/>
    <x v="1"/>
    <s v="Økologisk"/>
    <x v="0"/>
    <s v="Græs"/>
    <n v="6542.2271379776948"/>
    <n v="253207.74225743354"/>
    <n v="0"/>
    <n v="253207.74225743354"/>
  </r>
  <r>
    <x v="1"/>
    <x v="4"/>
    <x v="1"/>
    <s v="Økologisk"/>
    <x v="0"/>
    <s v="Grøntsager"/>
    <n v="2180.7423793258981"/>
    <n v="25792.730491477061"/>
    <n v="0"/>
    <n v="25792.730491477061"/>
  </r>
  <r>
    <x v="1"/>
    <x v="5"/>
    <x v="1"/>
    <s v="Økologisk"/>
    <x v="0"/>
    <s v="Kartofler"/>
    <n v="1591.7444890152233"/>
    <n v="38533.607500504557"/>
    <n v="0"/>
    <n v="38533.607500504557"/>
  </r>
  <r>
    <x v="1"/>
    <x v="6"/>
    <x v="1"/>
    <s v="Økologisk"/>
    <x v="0"/>
    <s v="Roer"/>
    <n v="978.92888660944459"/>
    <n v="45338.7261113438"/>
    <n v="0"/>
    <n v="45338.7261113438"/>
  </r>
  <r>
    <x v="1"/>
    <x v="7"/>
    <x v="1"/>
    <s v="Økologisk"/>
    <x v="0"/>
    <s v="Majs"/>
    <n v="4070.7191080750104"/>
    <n v="150385.79722534755"/>
    <n v="0"/>
    <n v="150385.79722534755"/>
  </r>
  <r>
    <x v="1"/>
    <x v="8"/>
    <x v="1"/>
    <s v="Økologisk"/>
    <x v="0"/>
    <s v="Frugt"/>
    <n v="147.57747904112145"/>
    <n v="714.17169432369906"/>
    <n v="0"/>
    <n v="714.17169432369906"/>
  </r>
  <r>
    <x v="1"/>
    <x v="9"/>
    <x v="1"/>
    <s v="Økologisk"/>
    <x v="0"/>
    <s v="Øvrige"/>
    <n v="2033.0821479715682"/>
    <n v="34529.232472223855"/>
    <n v="0"/>
    <n v="34529.232472223855"/>
  </r>
  <r>
    <x v="1"/>
    <x v="10"/>
    <x v="1"/>
    <s v="Økologisk"/>
    <x v="0"/>
    <s v="Halm"/>
    <n v="2936.3919526377699"/>
    <n v="23915.886575527133"/>
    <n v="4175.9730954263596"/>
    <n v="4175.9730954263596"/>
  </r>
  <r>
    <x v="1"/>
    <x v="11"/>
    <x v="1"/>
    <s v="Økologisk"/>
    <x v="0"/>
    <s v="Juletræer"/>
    <n v="551.50502092755107"/>
    <n v="15717.893096435204"/>
    <n v="0"/>
    <n v="15717.893096435204"/>
  </r>
  <r>
    <x v="1"/>
    <x v="12"/>
    <x v="1"/>
    <s v="Økologisk"/>
    <x v="0"/>
    <s v="Pil &amp; poppel"/>
    <n v="212.07788550342642"/>
    <n v="2948.3998716330011"/>
    <n v="0"/>
    <n v="2948.3998716330011"/>
  </r>
  <r>
    <x v="1"/>
    <x v="13"/>
    <x v="1"/>
    <s v="Økologisk"/>
    <x v="0"/>
    <s v="Græs"/>
    <n v="7996.0553908616266"/>
    <n v="110265.60383998184"/>
    <n v="0"/>
    <n v="110265.60383998184"/>
  </r>
  <r>
    <x v="1"/>
    <x v="0"/>
    <x v="2"/>
    <s v="Økologisk"/>
    <x v="0"/>
    <s v="Korn"/>
    <n v="0"/>
    <n v="0"/>
    <n v="0"/>
    <n v="0"/>
  </r>
  <r>
    <x v="1"/>
    <x v="1"/>
    <x v="2"/>
    <s v="Økologisk"/>
    <x v="0"/>
    <s v="Halm"/>
    <n v="22447.989284141684"/>
    <n v="49390.066022968531"/>
    <n v="16764.261545907768"/>
    <n v="16764.261545907768"/>
  </r>
  <r>
    <x v="1"/>
    <x v="2"/>
    <x v="2"/>
    <s v="Økologisk"/>
    <x v="0"/>
    <s v="Halm"/>
    <n v="13468.79357048501"/>
    <n v="32594.480440573723"/>
    <n v="19903.819481036346"/>
    <n v="19903.819481036346"/>
  </r>
  <r>
    <x v="1"/>
    <x v="3"/>
    <x v="2"/>
    <s v="Økologisk"/>
    <x v="0"/>
    <s v="Græs"/>
    <n v="31427.184997798355"/>
    <n v="1216345.1972807886"/>
    <n v="0"/>
    <n v="1216345.1972807886"/>
  </r>
  <r>
    <x v="1"/>
    <x v="4"/>
    <x v="2"/>
    <s v="Økologisk"/>
    <x v="0"/>
    <s v="Grøntsager"/>
    <n v="8979.1957136566725"/>
    <n v="106201.43730327429"/>
    <n v="0"/>
    <n v="106201.43730327429"/>
  </r>
  <r>
    <x v="1"/>
    <x v="5"/>
    <x v="2"/>
    <s v="Økologisk"/>
    <x v="0"/>
    <s v="Kartofler"/>
    <n v="0"/>
    <n v="0"/>
    <n v="0"/>
    <n v="0"/>
  </r>
  <r>
    <x v="1"/>
    <x v="6"/>
    <x v="2"/>
    <s v="Økologisk"/>
    <x v="0"/>
    <s v="Roer"/>
    <n v="0"/>
    <n v="0"/>
    <n v="0"/>
    <n v="0"/>
  </r>
  <r>
    <x v="1"/>
    <x v="7"/>
    <x v="2"/>
    <s v="Økologisk"/>
    <x v="0"/>
    <s v="Majs"/>
    <n v="0"/>
    <n v="0"/>
    <n v="0"/>
    <n v="0"/>
  </r>
  <r>
    <x v="1"/>
    <x v="8"/>
    <x v="2"/>
    <s v="Økologisk"/>
    <x v="0"/>
    <s v="Frugt"/>
    <n v="12525.578944294373"/>
    <n v="60615.034185123761"/>
    <n v="0"/>
    <n v="60615.034185123761"/>
  </r>
  <r>
    <x v="1"/>
    <x v="9"/>
    <x v="2"/>
    <s v="Økologisk"/>
    <x v="0"/>
    <s v="Øvrige"/>
    <n v="0"/>
    <n v="0"/>
    <n v="0"/>
    <n v="0"/>
  </r>
  <r>
    <x v="1"/>
    <x v="10"/>
    <x v="2"/>
    <s v="Økologisk"/>
    <x v="0"/>
    <s v="Frø"/>
    <n v="0"/>
    <n v="0"/>
    <n v="0"/>
    <n v="0"/>
  </r>
  <r>
    <x v="1"/>
    <x v="11"/>
    <x v="2"/>
    <s v="Økologisk"/>
    <x v="0"/>
    <s v="Juletræer"/>
    <n v="681.24574001770407"/>
    <n v="19415.503590504566"/>
    <n v="0"/>
    <n v="19415.503590504566"/>
  </r>
  <r>
    <x v="1"/>
    <x v="12"/>
    <x v="2"/>
    <s v="Økologisk"/>
    <x v="0"/>
    <s v="Pil &amp; poppel"/>
    <n v="261.96888617293479"/>
    <n v="3642.0064663066546"/>
    <n v="0"/>
    <n v="3642.0064663066546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3357.5605834995149"/>
    <n v="28243.799628397916"/>
    <n v="9689.3497152040363"/>
    <n v="9689.3497152040363"/>
  </r>
  <r>
    <x v="1"/>
    <x v="1"/>
    <x v="1"/>
    <s v="Konventionel"/>
    <x v="1"/>
    <s v="Halm"/>
    <n v="90.793805177184794"/>
    <n v="420.55690558071996"/>
    <n v="131.22861866996251"/>
    <n v="131.22861866996251"/>
  </r>
  <r>
    <x v="1"/>
    <x v="2"/>
    <x v="1"/>
    <s v="Konventionel"/>
    <x v="1"/>
    <s v="Halm"/>
    <n v="366.73036231407929"/>
    <n v="1936.3363130183386"/>
    <n v="1087.0064454975313"/>
    <n v="1087.0064454975313"/>
  </r>
  <r>
    <x v="1"/>
    <x v="3"/>
    <x v="1"/>
    <s v="Konventionel"/>
    <x v="1"/>
    <s v="Græs"/>
    <n v="1078.3409265177115"/>
    <n v="64208.732128570613"/>
    <n v="0"/>
    <n v="64208.732128570613"/>
  </r>
  <r>
    <x v="1"/>
    <x v="4"/>
    <x v="1"/>
    <s v="Konventionel"/>
    <x v="1"/>
    <s v="Grøntsager"/>
    <n v="20.422609337589453"/>
    <n v="508.52297250597741"/>
    <n v="0"/>
    <n v="508.52297250597741"/>
  </r>
  <r>
    <x v="1"/>
    <x v="5"/>
    <x v="1"/>
    <s v="Konventionel"/>
    <x v="1"/>
    <s v="Kartofler"/>
    <n v="34.720305000251777"/>
    <n v="1769.5230999175938"/>
    <n v="0"/>
    <n v="1769.5230999175938"/>
  </r>
  <r>
    <x v="1"/>
    <x v="6"/>
    <x v="1"/>
    <s v="Konventionel"/>
    <x v="1"/>
    <s v="Roer"/>
    <n v="97.001227381554372"/>
    <n v="9458.0540035554968"/>
    <n v="0"/>
    <n v="9458.0540035554968"/>
  </r>
  <r>
    <x v="1"/>
    <x v="7"/>
    <x v="1"/>
    <s v="Konventionel"/>
    <x v="1"/>
    <s v="Majs"/>
    <n v="103.41827733151489"/>
    <n v="5523.7770288308739"/>
    <n v="0"/>
    <n v="5523.7770288308739"/>
  </r>
  <r>
    <x v="1"/>
    <x v="8"/>
    <x v="1"/>
    <s v="Konventionel"/>
    <x v="1"/>
    <s v="Frugt"/>
    <n v="22.309448342014662"/>
    <n v="227.28865970844541"/>
    <n v="0"/>
    <n v="227.28865970844541"/>
  </r>
  <r>
    <x v="1"/>
    <x v="9"/>
    <x v="1"/>
    <s v="Konventionel"/>
    <x v="1"/>
    <s v="Øvrige"/>
    <n v="159.30028150544692"/>
    <n v="5695.8026262893663"/>
    <n v="0"/>
    <n v="5695.8026262893663"/>
  </r>
  <r>
    <x v="1"/>
    <x v="10"/>
    <x v="1"/>
    <s v="Konventionel"/>
    <x v="1"/>
    <s v="Halm"/>
    <n v="1156.5124894314743"/>
    <n v="19830.295113722077"/>
    <n v="3462.5845296493239"/>
    <n v="3462.5845296493239"/>
  </r>
  <r>
    <x v="1"/>
    <x v="11"/>
    <x v="1"/>
    <s v="Konventionel"/>
    <x v="1"/>
    <s v="Juletræer"/>
    <n v="34.958778596980039"/>
    <n v="2097.5267158188026"/>
    <n v="0"/>
    <n v="2097.5267158188026"/>
  </r>
  <r>
    <x v="1"/>
    <x v="12"/>
    <x v="1"/>
    <s v="Konventionel"/>
    <x v="1"/>
    <s v="Pil &amp; poppel"/>
    <n v="74.1955849335599"/>
    <n v="2171.5780956163871"/>
    <n v="0"/>
    <n v="2171.5780956163871"/>
  </r>
  <r>
    <x v="1"/>
    <x v="13"/>
    <x v="1"/>
    <s v="Konventionel"/>
    <x v="1"/>
    <s v="Græs"/>
    <n v="2150.2962504007219"/>
    <n v="35583.102351631147"/>
    <n v="0"/>
    <n v="35583.102351631147"/>
  </r>
  <r>
    <x v="1"/>
    <x v="0"/>
    <x v="2"/>
    <s v="Konventionel"/>
    <x v="1"/>
    <s v="Halm"/>
    <n v="364.7034753931315"/>
    <n v="3067.8856350070218"/>
    <n v="1144.8582218437455"/>
    <n v="1144.8582218437455"/>
  </r>
  <r>
    <x v="1"/>
    <x v="1"/>
    <x v="2"/>
    <s v="Konventionel"/>
    <x v="1"/>
    <s v="Halm"/>
    <n v="9.8621649464842704"/>
    <n v="45.681548032115138"/>
    <n v="15.505494944594487"/>
    <n v="15.505494944594487"/>
  </r>
  <r>
    <x v="1"/>
    <x v="2"/>
    <x v="2"/>
    <s v="Konventionel"/>
    <x v="1"/>
    <s v="Halm"/>
    <n v="39.83482482056197"/>
    <n v="210.32787505256721"/>
    <n v="128.43671690085014"/>
    <n v="128.43671690085014"/>
  </r>
  <r>
    <x v="1"/>
    <x v="3"/>
    <x v="2"/>
    <s v="Konventionel"/>
    <x v="1"/>
    <s v="Græs"/>
    <n v="117.13107590444632"/>
    <n v="6974.4527836543512"/>
    <n v="0"/>
    <n v="6974.4527836543512"/>
  </r>
  <r>
    <x v="1"/>
    <x v="4"/>
    <x v="2"/>
    <s v="Konventionel"/>
    <x v="1"/>
    <s v="Grøntsager"/>
    <n v="2.2183357282125327"/>
    <n v="55.23655963249206"/>
    <n v="0"/>
    <n v="55.23655963249206"/>
  </r>
  <r>
    <x v="1"/>
    <x v="5"/>
    <x v="2"/>
    <s v="Konventionel"/>
    <x v="1"/>
    <s v="Kartofler"/>
    <n v="3.7713737653851549"/>
    <n v="192.2083632682326"/>
    <n v="0"/>
    <n v="192.2083632682326"/>
  </r>
  <r>
    <x v="1"/>
    <x v="6"/>
    <x v="2"/>
    <s v="Konventionel"/>
    <x v="1"/>
    <s v="Roer"/>
    <n v="10.536424842878008"/>
    <n v="1027.3486002022901"/>
    <n v="0"/>
    <n v="1027.3486002022901"/>
  </r>
  <r>
    <x v="1"/>
    <x v="7"/>
    <x v="2"/>
    <s v="Konventionel"/>
    <x v="1"/>
    <s v="Majs"/>
    <n v="11.233454832455337"/>
    <n v="600.00128951110446"/>
    <n v="0"/>
    <n v="600.00128951110446"/>
  </r>
  <r>
    <x v="1"/>
    <x v="8"/>
    <x v="2"/>
    <s v="Konventionel"/>
    <x v="1"/>
    <s v="Frugt"/>
    <n v="2.4232871282864399"/>
    <n v="24.68844926298225"/>
    <n v="0"/>
    <n v="24.68844926298225"/>
  </r>
  <r>
    <x v="1"/>
    <x v="9"/>
    <x v="2"/>
    <s v="Konventionel"/>
    <x v="1"/>
    <s v="Øvrige"/>
    <n v="17.303445418574402"/>
    <n v="618.6869786265936"/>
    <n v="0"/>
    <n v="618.6869786265936"/>
  </r>
  <r>
    <x v="1"/>
    <x v="10"/>
    <x v="2"/>
    <s v="Konventionel"/>
    <x v="1"/>
    <s v="Halm"/>
    <n v="125.62219317919325"/>
    <n v="2153.9976319676493"/>
    <n v="409.12635874599658"/>
    <n v="409.12635874599658"/>
  </r>
  <r>
    <x v="1"/>
    <x v="11"/>
    <x v="2"/>
    <s v="Konventionel"/>
    <x v="1"/>
    <s v="Juletræer"/>
    <n v="3.7972771399791134"/>
    <n v="227.83662839874683"/>
    <n v="0"/>
    <n v="227.83662839874683"/>
  </r>
  <r>
    <x v="1"/>
    <x v="12"/>
    <x v="2"/>
    <s v="Konventionel"/>
    <x v="1"/>
    <s v="Pil &amp; poppel"/>
    <n v="8.0592403356999522"/>
    <n v="235.88020494731569"/>
    <n v="0"/>
    <n v="235.88020494731569"/>
  </r>
  <r>
    <x v="1"/>
    <x v="13"/>
    <x v="2"/>
    <s v="Konventionel"/>
    <x v="1"/>
    <s v="Græs"/>
    <n v="233.56853767582237"/>
    <n v="3865.0921614595086"/>
    <n v="0"/>
    <n v="3865.09216145950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525.07317210500355"/>
    <n v="2959.3334009106838"/>
    <n v="1015.2322500007133"/>
    <n v="1015.2322500007133"/>
  </r>
  <r>
    <x v="1"/>
    <x v="1"/>
    <x v="1"/>
    <s v="Økologisk"/>
    <x v="1"/>
    <s v="Halm"/>
    <n v="14.198817893608684"/>
    <n v="37.488286955421387"/>
    <n v="11.697670513030937"/>
    <n v="11.697670513030937"/>
  </r>
  <r>
    <x v="1"/>
    <x v="2"/>
    <x v="1"/>
    <s v="Økologisk"/>
    <x v="1"/>
    <s v="Halm"/>
    <n v="57.351243517032643"/>
    <n v="166.54801117346281"/>
    <n v="93.495515429418262"/>
    <n v="93.495515429418262"/>
  </r>
  <r>
    <x v="1"/>
    <x v="3"/>
    <x v="1"/>
    <s v="Økologisk"/>
    <x v="1"/>
    <s v="Græs"/>
    <n v="168.63668631323898"/>
    <n v="7832.2162228716916"/>
    <n v="0"/>
    <n v="7832.2162228716916"/>
  </r>
  <r>
    <x v="1"/>
    <x v="4"/>
    <x v="1"/>
    <s v="Økologisk"/>
    <x v="1"/>
    <s v="Grøntsager"/>
    <n v="3.1937962103345354"/>
    <n v="45.329549613278061"/>
    <n v="0"/>
    <n v="45.329549613278061"/>
  </r>
  <r>
    <x v="1"/>
    <x v="5"/>
    <x v="1"/>
    <s v="Økologisk"/>
    <x v="1"/>
    <s v="Kartofler"/>
    <n v="5.429745861483144"/>
    <n v="157.73463439473878"/>
    <n v="0"/>
    <n v="157.73463439473878"/>
  </r>
  <r>
    <x v="1"/>
    <x v="6"/>
    <x v="1"/>
    <s v="Økologisk"/>
    <x v="1"/>
    <s v="Roer"/>
    <n v="15.169567575226109"/>
    <n v="843.08743435222607"/>
    <n v="0"/>
    <n v="843.08743435222607"/>
  </r>
  <r>
    <x v="1"/>
    <x v="7"/>
    <x v="1"/>
    <s v="Økologisk"/>
    <x v="1"/>
    <s v="Majs"/>
    <n v="16.173099958034264"/>
    <n v="716.98522041557669"/>
    <n v="0"/>
    <n v="716.98522041557669"/>
  </r>
  <r>
    <x v="1"/>
    <x v="8"/>
    <x v="1"/>
    <s v="Økologisk"/>
    <x v="1"/>
    <s v="Frugt"/>
    <n v="3.4888701238698125"/>
    <n v="20.260427028531822"/>
    <n v="0"/>
    <n v="20.260427028531822"/>
  </r>
  <r>
    <x v="1"/>
    <x v="9"/>
    <x v="1"/>
    <s v="Økologisk"/>
    <x v="1"/>
    <s v="Øvrige"/>
    <n v="24.912224827259667"/>
    <n v="507.72173863352538"/>
    <n v="0"/>
    <n v="507.72173863352538"/>
  </r>
  <r>
    <x v="1"/>
    <x v="10"/>
    <x v="1"/>
    <s v="Økologisk"/>
    <x v="1"/>
    <s v="Halm"/>
    <n v="180.86157086461591"/>
    <n v="1767.6651691342113"/>
    <n v="308.65350380028923"/>
    <n v="308.65350380028923"/>
  </r>
  <r>
    <x v="1"/>
    <x v="11"/>
    <x v="1"/>
    <s v="Økologisk"/>
    <x v="1"/>
    <s v="Juletræer"/>
    <n v="5.467039630212966"/>
    <n v="186.97275535328342"/>
    <n v="0"/>
    <n v="186.97275535328342"/>
  </r>
  <r>
    <x v="1"/>
    <x v="12"/>
    <x v="1"/>
    <s v="Økologisk"/>
    <x v="1"/>
    <s v="Pil &amp; poppel"/>
    <n v="11.603099979403883"/>
    <n v="193.57366794907941"/>
    <n v="0"/>
    <n v="193.57366794907941"/>
  </r>
  <r>
    <x v="1"/>
    <x v="13"/>
    <x v="1"/>
    <s v="Økologisk"/>
    <x v="1"/>
    <s v="Græs"/>
    <n v="336.27475814199715"/>
    <n v="5564.6746977337698"/>
    <n v="0"/>
    <n v="5564.6746977337698"/>
  </r>
  <r>
    <x v="1"/>
    <x v="0"/>
    <x v="2"/>
    <s v="Økologisk"/>
    <x v="1"/>
    <s v="Halm"/>
    <n v="77.361343265209698"/>
    <n v="436.01162509645246"/>
    <n v="162.70863819536862"/>
    <n v="162.70863819536862"/>
  </r>
  <r>
    <x v="1"/>
    <x v="1"/>
    <x v="2"/>
    <s v="Økologisk"/>
    <x v="1"/>
    <s v="Halm"/>
    <n v="2.0919743825875723"/>
    <n v="5.5233144438830122"/>
    <n v="1.8747552978464239"/>
    <n v="1.8747552978464239"/>
  </r>
  <r>
    <x v="1"/>
    <x v="2"/>
    <x v="2"/>
    <s v="Økologisk"/>
    <x v="1"/>
    <s v="Halm"/>
    <n v="8.4498113255737515"/>
    <n v="24.53825208946618"/>
    <n v="14.984283638432522"/>
    <n v="14.984283638432522"/>
  </r>
  <r>
    <x v="1"/>
    <x v="3"/>
    <x v="2"/>
    <s v="Økologisk"/>
    <x v="1"/>
    <s v="Græs"/>
    <n v="24.845985797912856"/>
    <n v="1153.9549151137201"/>
    <n v="0"/>
    <n v="1153.9549151137201"/>
  </r>
  <r>
    <x v="1"/>
    <x v="4"/>
    <x v="2"/>
    <s v="Økologisk"/>
    <x v="1"/>
    <s v="Grøntsager"/>
    <n v="0.47055606356023416"/>
    <n v="6.6786022101104026"/>
    <n v="0"/>
    <n v="6.6786022101104026"/>
  </r>
  <r>
    <x v="1"/>
    <x v="5"/>
    <x v="2"/>
    <s v="Økologisk"/>
    <x v="1"/>
    <s v="Kartofler"/>
    <n v="0.79998837447563886"/>
    <n v="23.239738467886301"/>
    <n v="0"/>
    <n v="23.239738467886301"/>
  </r>
  <r>
    <x v="1"/>
    <x v="6"/>
    <x v="2"/>
    <s v="Økologisk"/>
    <x v="1"/>
    <s v="Roer"/>
    <n v="2.234999209095335"/>
    <n v="124.21578529718597"/>
    <n v="0"/>
    <n v="124.21578529718597"/>
  </r>
  <r>
    <x v="1"/>
    <x v="7"/>
    <x v="2"/>
    <s v="Økologisk"/>
    <x v="1"/>
    <s v="Majs"/>
    <n v="2.3828540553693136"/>
    <n v="105.63659066847021"/>
    <n v="0"/>
    <n v="105.63659066847021"/>
  </r>
  <r>
    <x v="1"/>
    <x v="8"/>
    <x v="2"/>
    <s v="Økologisk"/>
    <x v="1"/>
    <s v="Frugt"/>
    <n v="0.51403060296985081"/>
    <n v="2.9850579563423985"/>
    <n v="0"/>
    <n v="2.9850579563423985"/>
  </r>
  <r>
    <x v="1"/>
    <x v="9"/>
    <x v="2"/>
    <s v="Økologisk"/>
    <x v="1"/>
    <s v="Øvrige"/>
    <n v="3.6704278160612374"/>
    <n v="74.804880143033586"/>
    <n v="0"/>
    <n v="74.804880143033586"/>
  </r>
  <r>
    <x v="1"/>
    <x v="10"/>
    <x v="2"/>
    <s v="Økologisk"/>
    <x v="1"/>
    <s v="Halm"/>
    <n v="26.647131886495536"/>
    <n v="260.43789550154304"/>
    <n v="49.467096102925041"/>
    <n v="49.467096102925041"/>
  </r>
  <r>
    <x v="1"/>
    <x v="11"/>
    <x v="2"/>
    <s v="Økologisk"/>
    <x v="1"/>
    <s v="Juletræer"/>
    <n v="0.80548302969253915"/>
    <n v="27.547519615484841"/>
    <n v="0"/>
    <n v="27.547519615484841"/>
  </r>
  <r>
    <x v="1"/>
    <x v="12"/>
    <x v="2"/>
    <s v="Økologisk"/>
    <x v="1"/>
    <s v="Pil &amp; poppel"/>
    <n v="1.7095358287848383"/>
    <n v="28.520061143629984"/>
    <n v="0"/>
    <n v="28.520061143629984"/>
  </r>
  <r>
    <x v="1"/>
    <x v="13"/>
    <x v="2"/>
    <s v="Økologisk"/>
    <x v="1"/>
    <s v="Græs"/>
    <n v="49.544841325174438"/>
    <n v="819.86803424898665"/>
    <n v="0"/>
    <n v="819.86803424898665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1549250748035"/>
    <n v="17627.46443468412"/>
    <n v="6047.2978050816228"/>
    <n v="6047.2978050816228"/>
  </r>
  <r>
    <x v="1"/>
    <x v="1"/>
    <x v="1"/>
    <s v="Konventionel"/>
    <x v="2"/>
    <s v="Halm"/>
    <n v="32.624096434599416"/>
    <n v="176.30061713257524"/>
    <n v="55.012023699915716"/>
    <n v="55.012023699915716"/>
  </r>
  <r>
    <x v="1"/>
    <x v="2"/>
    <x v="1"/>
    <s v="Konventionel"/>
    <x v="2"/>
    <s v="Halm"/>
    <n v="159.36107732825297"/>
    <n v="981.66423634203829"/>
    <n v="551.0795542303614"/>
    <n v="551.0795542303614"/>
  </r>
  <r>
    <x v="1"/>
    <x v="3"/>
    <x v="1"/>
    <s v="Konventionel"/>
    <x v="2"/>
    <s v="Græs"/>
    <n v="1171.0785614452748"/>
    <n v="81352.485506480356"/>
    <n v="0"/>
    <n v="81352.485506480356"/>
  </r>
  <r>
    <x v="1"/>
    <x v="4"/>
    <x v="1"/>
    <s v="Konventionel"/>
    <x v="2"/>
    <s v="Grøntsager"/>
    <n v="5.5117970826864369"/>
    <n v="160.11770525204099"/>
    <n v="0"/>
    <n v="160.11770525204099"/>
  </r>
  <r>
    <x v="1"/>
    <x v="5"/>
    <x v="1"/>
    <s v="Konventionel"/>
    <x v="2"/>
    <s v="Kartofler"/>
    <n v="31.416585856718971"/>
    <n v="1868.0069234954308"/>
    <n v="0"/>
    <n v="1868.0069234954308"/>
  </r>
  <r>
    <x v="1"/>
    <x v="6"/>
    <x v="1"/>
    <s v="Konventionel"/>
    <x v="2"/>
    <s v="Roer"/>
    <n v="36.178887809125172"/>
    <n v="4115.5374824780356"/>
    <n v="0"/>
    <n v="4115.5374824780356"/>
  </r>
  <r>
    <x v="1"/>
    <x v="7"/>
    <x v="1"/>
    <s v="Konventionel"/>
    <x v="2"/>
    <s v="Majs"/>
    <n v="37.160330995922486"/>
    <n v="2315.6088656799143"/>
    <n v="0"/>
    <n v="2315.6088656799143"/>
  </r>
  <r>
    <x v="1"/>
    <x v="8"/>
    <x v="1"/>
    <s v="Konventionel"/>
    <x v="2"/>
    <s v="Frugt"/>
    <n v="13.484572661869436"/>
    <n v="160.27763065898012"/>
    <n v="0"/>
    <n v="160.27763065898012"/>
  </r>
  <r>
    <x v="1"/>
    <x v="9"/>
    <x v="1"/>
    <s v="Konventionel"/>
    <x v="2"/>
    <s v="Øvrige"/>
    <n v="96.286388981255755"/>
    <n v="4016.521329369848"/>
    <n v="0"/>
    <n v="4016.521329369848"/>
  </r>
  <r>
    <x v="1"/>
    <x v="10"/>
    <x v="1"/>
    <s v="Konventionel"/>
    <x v="2"/>
    <s v="Halm"/>
    <n v="901.06512085105521"/>
    <n v="18025.271665907891"/>
    <n v="3147.4078653479032"/>
    <n v="3147.4078653479032"/>
  </r>
  <r>
    <x v="1"/>
    <x v="11"/>
    <x v="1"/>
    <s v="Konventionel"/>
    <x v="2"/>
    <s v="Juletræer"/>
    <n v="21.130248625350497"/>
    <n v="1479.117403774535"/>
    <n v="0"/>
    <n v="1479.117403774535"/>
  </r>
  <r>
    <x v="1"/>
    <x v="12"/>
    <x v="1"/>
    <s v="Konventionel"/>
    <x v="2"/>
    <s v="Pil &amp; poppel"/>
    <n v="64.456117245548413"/>
    <n v="2200.9405888723845"/>
    <n v="0"/>
    <n v="2200.9405888723845"/>
  </r>
  <r>
    <x v="1"/>
    <x v="13"/>
    <x v="1"/>
    <s v="Konventionel"/>
    <x v="2"/>
    <s v="Græs"/>
    <n v="2241.5480572801857"/>
    <n v="43275.326793851265"/>
    <n v="0"/>
    <n v="43275.32679385126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89225514973896"/>
    <n v="1846.9733166664905"/>
    <n v="633.62474650323929"/>
    <n v="633.62474650323929"/>
  </r>
  <r>
    <x v="1"/>
    <x v="1"/>
    <x v="1"/>
    <s v="Økologisk"/>
    <x v="2"/>
    <s v="Halm"/>
    <n v="5.1019296230003928"/>
    <n v="15.715371779135646"/>
    <n v="4.9037514379015512"/>
    <n v="4.9037514379015512"/>
  </r>
  <r>
    <x v="1"/>
    <x v="2"/>
    <x v="1"/>
    <s v="Økologisk"/>
    <x v="2"/>
    <s v="Halm"/>
    <n v="24.921732401207365"/>
    <n v="84.434829375290576"/>
    <n v="47.399412559875849"/>
    <n v="47.399412559875849"/>
  </r>
  <r>
    <x v="1"/>
    <x v="3"/>
    <x v="1"/>
    <s v="Økologisk"/>
    <x v="2"/>
    <s v="Græs"/>
    <n v="183.13949063618546"/>
    <n v="9923.4206257013338"/>
    <n v="0"/>
    <n v="9923.4206257013338"/>
  </r>
  <r>
    <x v="1"/>
    <x v="4"/>
    <x v="1"/>
    <s v="Økologisk"/>
    <x v="2"/>
    <s v="Grøntsager"/>
    <n v="0.86196412729768701"/>
    <n v="14.27283300185875"/>
    <n v="0"/>
    <n v="14.27283300185875"/>
  </r>
  <r>
    <x v="1"/>
    <x v="5"/>
    <x v="1"/>
    <s v="Økologisk"/>
    <x v="2"/>
    <s v="Kartofler"/>
    <n v="4.9130926999694466"/>
    <n v="166.51344598898669"/>
    <n v="0"/>
    <n v="166.51344598898669"/>
  </r>
  <r>
    <x v="1"/>
    <x v="6"/>
    <x v="1"/>
    <s v="Økologisk"/>
    <x v="2"/>
    <s v="Roer"/>
    <n v="5.6578467946418041"/>
    <n v="366.85748841976005"/>
    <n v="0"/>
    <n v="366.85748841976005"/>
  </r>
  <r>
    <x v="1"/>
    <x v="7"/>
    <x v="1"/>
    <s v="Økologisk"/>
    <x v="2"/>
    <s v="Majs"/>
    <n v="5.8113300973303872"/>
    <n v="300.56559565858794"/>
    <n v="0"/>
    <n v="300.56559565858794"/>
  </r>
  <r>
    <x v="1"/>
    <x v="8"/>
    <x v="1"/>
    <s v="Økologisk"/>
    <x v="2"/>
    <s v="Frugt"/>
    <n v="2.1087891539006742"/>
    <n v="14.287088693460143"/>
    <n v="0"/>
    <n v="14.287088693460143"/>
  </r>
  <r>
    <x v="1"/>
    <x v="9"/>
    <x v="1"/>
    <s v="Økologisk"/>
    <x v="2"/>
    <s v="Øvrige"/>
    <n v="15.057777346262895"/>
    <n v="358.03122516814113"/>
    <n v="0"/>
    <n v="358.03122516814113"/>
  </r>
  <r>
    <x v="1"/>
    <x v="10"/>
    <x v="1"/>
    <s v="Økologisk"/>
    <x v="2"/>
    <s v="Halm"/>
    <n v="140.91335346369644"/>
    <n v="1606.7660468632666"/>
    <n v="280.55877256131697"/>
    <n v="280.55877256131697"/>
  </r>
  <r>
    <x v="1"/>
    <x v="11"/>
    <x v="1"/>
    <s v="Økologisk"/>
    <x v="2"/>
    <s v="Juletræer"/>
    <n v="3.3044606038102131"/>
    <n v="131.84797809202749"/>
    <n v="0"/>
    <n v="131.84797809202749"/>
  </r>
  <r>
    <x v="1"/>
    <x v="12"/>
    <x v="1"/>
    <s v="Økologisk"/>
    <x v="2"/>
    <s v="Pil &amp; poppel"/>
    <n v="10.079990249473639"/>
    <n v="196.19102973365764"/>
    <n v="0"/>
    <n v="196.19102973365764"/>
  </r>
  <r>
    <x v="1"/>
    <x v="13"/>
    <x v="1"/>
    <s v="Økologisk"/>
    <x v="2"/>
    <s v="Græs"/>
    <n v="350.54520077644509"/>
    <n v="6767.6256461900484"/>
    <n v="0"/>
    <n v="6767.6256461900484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  <x v="0"/>
  </r>
  <r>
    <x v="4"/>
    <s v="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x v="0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  <x v="0"/>
  </r>
  <r>
    <x v="20"/>
    <s v="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  <x v="0"/>
  </r>
  <r>
    <x v="23"/>
    <s v="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  <x v="0"/>
  </r>
  <r>
    <x v="25"/>
    <s v="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  <x v="0"/>
  </r>
  <r>
    <x v="27"/>
    <s v="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  <x v="1"/>
  </r>
  <r>
    <x v="30"/>
    <s v="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x v="0"/>
  </r>
  <r>
    <x v="38"/>
    <s v="Græs og urter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  <x v="0"/>
  </r>
  <r>
    <x v="39"/>
    <s v="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x v="0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x v="1"/>
  </r>
  <r>
    <x v="1"/>
    <s v="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  <x v="0"/>
  </r>
  <r>
    <x v="4"/>
    <s v="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x v="0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x v="1"/>
  </r>
  <r>
    <x v="10"/>
    <s v="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  <x v="0"/>
  </r>
  <r>
    <x v="20"/>
    <s v="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  <x v="1"/>
  </r>
  <r>
    <x v="23"/>
    <s v="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  <x v="0"/>
  </r>
  <r>
    <x v="25"/>
    <s v="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  <x v="1"/>
  </r>
  <r>
    <x v="27"/>
    <s v="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x v="0"/>
  </r>
  <r>
    <x v="38"/>
    <s v="Græs og urter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  <x v="1"/>
  </r>
  <r>
    <x v="39"/>
    <s v="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  <x v="0"/>
  </r>
  <r>
    <x v="4"/>
    <s v="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x v="0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  <x v="0"/>
  </r>
  <r>
    <x v="20"/>
    <s v="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  <x v="0"/>
  </r>
  <r>
    <x v="23"/>
    <s v="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  <x v="0"/>
  </r>
  <r>
    <x v="25"/>
    <s v="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  <x v="0"/>
  </r>
  <r>
    <x v="27"/>
    <s v="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  <x v="1"/>
  </r>
  <r>
    <x v="30"/>
    <s v="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x v="0"/>
  </r>
  <r>
    <x v="38"/>
    <s v="Græs og urter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  <x v="0"/>
  </r>
  <r>
    <x v="39"/>
    <s v="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x v="0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x v="1"/>
  </r>
  <r>
    <x v="1"/>
    <s v="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  <x v="0"/>
  </r>
  <r>
    <x v="4"/>
    <s v="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x v="0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x v="1"/>
  </r>
  <r>
    <x v="10"/>
    <s v="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  <x v="0"/>
  </r>
  <r>
    <x v="20"/>
    <s v="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  <x v="1"/>
  </r>
  <r>
    <x v="23"/>
    <s v="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  <x v="0"/>
  </r>
  <r>
    <x v="25"/>
    <s v="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  <x v="1"/>
  </r>
  <r>
    <x v="27"/>
    <s v="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x v="0"/>
  </r>
  <r>
    <x v="38"/>
    <s v="Græs og urter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  <x v="1"/>
  </r>
  <r>
    <x v="39"/>
    <s v="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  <n v="0"/>
    <x v="1"/>
  </r>
  <r>
    <x v="4"/>
    <s v="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  <n v="0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n v="0"/>
    <x v="1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  <n v="0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  <n v="0"/>
    <x v="0"/>
  </r>
  <r>
    <x v="20"/>
    <s v="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  <n v="0"/>
    <x v="0"/>
  </r>
  <r>
    <x v="23"/>
    <s v="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  <n v="0"/>
    <x v="1"/>
  </r>
  <r>
    <x v="25"/>
    <s v="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  <n v="0"/>
    <x v="0"/>
  </r>
  <r>
    <x v="27"/>
    <s v="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n v="0"/>
    <x v="1"/>
  </r>
  <r>
    <x v="38"/>
    <s v="Græs og urter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  <n v="0"/>
    <x v="0"/>
  </r>
  <r>
    <x v="39"/>
    <s v="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  <n v="0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n v="0"/>
    <x v="1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  <n v="0"/>
    <x v="1"/>
  </r>
  <r>
    <x v="4"/>
    <s v="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  <n v="0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n v="0"/>
    <x v="1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  <n v="0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  <n v="0"/>
    <x v="0"/>
  </r>
  <r>
    <x v="20"/>
    <s v="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  <n v="0"/>
    <x v="1"/>
  </r>
  <r>
    <x v="25"/>
    <s v="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n v="0"/>
    <x v="1"/>
  </r>
  <r>
    <x v="38"/>
    <s v="Græs og urter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  <n v="0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  <n v="0"/>
    <x v="1"/>
  </r>
  <r>
    <x v="4"/>
    <s v="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  <n v="0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n v="0"/>
    <x v="1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  <n v="0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  <n v="0"/>
    <x v="0"/>
  </r>
  <r>
    <x v="20"/>
    <s v="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  <n v="0"/>
    <x v="0"/>
  </r>
  <r>
    <x v="23"/>
    <s v="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  <n v="0"/>
    <x v="1"/>
  </r>
  <r>
    <x v="25"/>
    <s v="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  <n v="0"/>
    <x v="0"/>
  </r>
  <r>
    <x v="27"/>
    <s v="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n v="0"/>
    <x v="1"/>
  </r>
  <r>
    <x v="38"/>
    <s v="Græs og urter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  <n v="0"/>
    <x v="0"/>
  </r>
  <r>
    <x v="39"/>
    <s v="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  <n v="0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n v="0"/>
    <x v="1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  <n v="0"/>
    <x v="1"/>
  </r>
  <r>
    <x v="4"/>
    <s v="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  <n v="0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n v="0"/>
    <x v="1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  <n v="0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  <n v="0"/>
    <x v="0"/>
  </r>
  <r>
    <x v="20"/>
    <s v="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  <n v="0"/>
    <x v="1"/>
  </r>
  <r>
    <x v="25"/>
    <s v="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n v="0"/>
    <x v="1"/>
  </r>
  <r>
    <x v="38"/>
    <s v="Græs og urter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  <n v="0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253526.2508594617"/>
    <s v="CO2 - atmosfære"/>
    <x v="0"/>
  </r>
  <r>
    <s v="Vestdanmark"/>
    <x v="1"/>
    <n v="3333383.2697204407"/>
    <s v="Landbrug"/>
    <x v="1"/>
  </r>
  <r>
    <s v="Vestdanmark"/>
    <x v="1"/>
    <n v="4042268.1505437652"/>
    <s v="Landbrug"/>
    <x v="2"/>
  </r>
  <r>
    <s v="Vestdanmark"/>
    <x v="1"/>
    <n v="972375.23040678946"/>
    <s v="Landbrug"/>
    <x v="2"/>
  </r>
  <r>
    <s v="Vestdanmark"/>
    <x v="1"/>
    <n v="1839084.3419425213"/>
    <s v="Landbrug"/>
    <x v="2"/>
  </r>
  <r>
    <s v="Vestdanmark"/>
    <x v="1"/>
    <n v="-158.24317477886137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232499.11889965192"/>
    <s v="Biogasanlæg"/>
    <x v="6"/>
  </r>
  <r>
    <s v="Vestdanmark"/>
    <x v="1"/>
    <n v="0"/>
    <s v="Pyrolyseproces"/>
    <x v="7"/>
  </r>
  <r>
    <s v="Vestdanmark"/>
    <x v="2"/>
    <n v="231505.42815902986"/>
    <s v="CO2 - atmosfære"/>
    <x v="0"/>
  </r>
  <r>
    <s v="Vestdanmark"/>
    <x v="2"/>
    <n v="425175.44850829884"/>
    <s v="Landbrug"/>
    <x v="1"/>
  </r>
  <r>
    <s v="Vestdanmark"/>
    <x v="2"/>
    <n v="3720487.3144801827"/>
    <s v="Landbrug"/>
    <x v="2"/>
  </r>
  <r>
    <s v="Vestdanmark"/>
    <x v="2"/>
    <n v="110711.6733009274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20785.457262761494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99383.6258892769"/>
    <s v="CO2 - atmosfære"/>
    <x v="0"/>
  </r>
  <r>
    <s v="Østdanmark"/>
    <x v="1"/>
    <n v="298768.99309644138"/>
    <s v="Landbrug"/>
    <x v="1"/>
  </r>
  <r>
    <s v="Østdanmark"/>
    <x v="1"/>
    <n v="1208704.6765779152"/>
    <s v="Landbrug"/>
    <x v="2"/>
  </r>
  <r>
    <s v="Østdanmark"/>
    <x v="1"/>
    <n v="147682.6024047980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21215.094788311842"/>
    <s v="Biogasanlæg"/>
    <x v="6"/>
  </r>
  <r>
    <s v="Østdanmark"/>
    <x v="1"/>
    <n v="0"/>
    <s v="Pyrolyseproces"/>
    <x v="7"/>
  </r>
  <r>
    <s v="Østdanmark"/>
    <x v="2"/>
    <n v="402302.55250166461"/>
    <s v="CO2 - atmosfære"/>
    <x v="0"/>
  </r>
  <r>
    <s v="Østdanmark"/>
    <x v="2"/>
    <n v="36857.152016376669"/>
    <s v="Landbrug"/>
    <x v="1"/>
  </r>
  <r>
    <s v="Østdanmark"/>
    <x v="2"/>
    <n v="1166254.1833775467"/>
    <s v="Landbrug"/>
    <x v="2"/>
  </r>
  <r>
    <s v="Østdanmark"/>
    <x v="2"/>
    <n v="16814.689965756032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1477.3057934574824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</r>
  <r>
    <x v="1"/>
    <x v="10"/>
    <n v="0"/>
    <n v="1"/>
    <x v="1"/>
    <s v="Vestdanmark"/>
    <n v="807391.35086832882"/>
    <n v="43580.743031500795"/>
    <n v="0"/>
    <n v="0"/>
    <n v="0"/>
    <n v="0"/>
    <n v="0"/>
    <n v="0"/>
    <n v="763810.60783682799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360155466.15188104"/>
    <n v="0"/>
    <n v="0"/>
    <n v="0"/>
    <n v="0"/>
    <n v="0"/>
    <n v="360155466.15188104"/>
    <n v="0"/>
    <n v="0"/>
    <n v="0"/>
    <n v="360155466.15188104"/>
    <n v="0"/>
    <n v="0"/>
    <n v="0"/>
    <n v="0"/>
    <n v="0"/>
    <n v="0"/>
    <n v="0"/>
    <n v="0"/>
  </r>
  <r>
    <x v="4"/>
    <x v="10"/>
    <n v="0"/>
    <n v="0"/>
    <x v="1"/>
    <s v="Vestdanmark"/>
    <n v="14753259.052618254"/>
    <n v="0"/>
    <n v="0"/>
    <n v="0"/>
    <n v="0"/>
    <n v="10112257.042498086"/>
    <n v="0"/>
    <n v="0"/>
    <n v="4641002.0101201683"/>
    <n v="0"/>
    <n v="0"/>
    <n v="0"/>
    <n v="0"/>
    <n v="0"/>
    <n v="0"/>
    <n v="0"/>
    <n v="0"/>
    <n v="0"/>
    <n v="0"/>
  </r>
  <r>
    <x v="5"/>
    <x v="1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Vestdanmark"/>
    <n v="2465403.7833838393"/>
    <n v="0"/>
    <n v="0"/>
    <n v="0"/>
    <n v="1849052.8375378796"/>
    <n v="233332.85807025622"/>
    <n v="0"/>
    <n v="0"/>
    <n v="383018.08777570352"/>
    <n v="383018.08777570352"/>
    <n v="1849052.8375378796"/>
    <n v="0.82502096106886535"/>
    <n v="4.8078807731254578"/>
    <n v="3.9828598120565926"/>
    <n v="0.82502096106886524"/>
    <n v="114905.42633271105"/>
    <n v="669621.27759407496"/>
    <n v="554715.85126136383"/>
    <n v="114905.42633271113"/>
  </r>
  <r>
    <x v="7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</r>
  <r>
    <x v="9"/>
    <x v="10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</r>
  <r>
    <x v="10"/>
    <x v="10"/>
    <n v="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</r>
  <r>
    <x v="11"/>
    <x v="10"/>
    <n v="0"/>
    <n v="1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13177775.793539407"/>
    <n v="8268840.7021296145"/>
    <n v="0"/>
    <n v="0"/>
    <n v="0"/>
    <n v="0"/>
    <n v="0"/>
    <n v="0"/>
    <n v="4908935.0914097922"/>
    <n v="4908935.0914097922"/>
    <n v="0"/>
    <n v="9.0318269513075915"/>
    <n v="9.0318269513075915"/>
    <n v="0"/>
    <n v="9.0318269513075915"/>
    <n v="1374501.8255947419"/>
    <n v="1374501.8255947419"/>
    <n v="0"/>
    <n v="1374501.8255947419"/>
  </r>
  <r>
    <x v="14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183876.8673845837"/>
    <n v="0"/>
    <n v="0"/>
    <n v="270140.71358529059"/>
    <n v="0"/>
    <n v="0"/>
    <n v="0"/>
    <n v="0"/>
    <n v="913736.1537992931"/>
    <n v="0"/>
    <n v="0"/>
    <n v="0"/>
    <n v="0"/>
    <n v="0"/>
    <n v="0"/>
    <n v="0"/>
    <n v="0"/>
    <n v="0"/>
    <n v="0"/>
  </r>
  <r>
    <x v="16"/>
    <x v="5"/>
    <n v="1"/>
    <n v="0"/>
    <x v="1"/>
    <s v="Vestdanmark"/>
    <n v="2495959.9516581628"/>
    <n v="522363.62828034989"/>
    <n v="471959.19081652729"/>
    <n v="0"/>
    <n v="0"/>
    <n v="0"/>
    <n v="1501637.1325612864"/>
    <n v="0"/>
    <n v="0"/>
    <n v="0"/>
    <n v="1501637.1325612864"/>
    <n v="0"/>
    <n v="15.520630593806496"/>
    <n v="0"/>
    <n v="15.520630593806496"/>
    <n v="0"/>
    <n v="1276391.5626770935"/>
    <n v="0"/>
    <n v="1276391.5626770935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3262502.8463859628"/>
    <n v="0"/>
    <n v="0"/>
    <n v="0"/>
    <n v="0"/>
    <n v="0"/>
    <n v="0"/>
    <n v="-3262502.8463859628"/>
    <n v="0"/>
    <n v="0"/>
    <n v="0"/>
    <n v="0"/>
    <n v="0"/>
    <n v="0"/>
    <n v="0"/>
    <n v="0"/>
    <n v="0"/>
    <n v="0"/>
  </r>
  <r>
    <x v="19"/>
    <x v="1"/>
    <n v="1"/>
    <n v="0"/>
    <x v="1"/>
    <s v="Vestdanmark"/>
    <n v="402383.95965350419"/>
    <n v="0"/>
    <n v="0"/>
    <n v="0"/>
    <n v="0"/>
    <n v="0"/>
    <n v="0"/>
    <n v="0"/>
    <n v="402383.95965350419"/>
    <n v="402383.95965350419"/>
    <n v="0"/>
    <n v="1.7435820070933887"/>
    <n v="1.7435820070933887"/>
    <n v="0"/>
    <n v="1.7435820070933887"/>
    <n v="169001.26305447175"/>
    <n v="169001.26305447175"/>
    <n v="0"/>
    <n v="169001.26305447175"/>
  </r>
  <r>
    <x v="20"/>
    <x v="10"/>
    <n v="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</r>
  <r>
    <x v="22"/>
    <x v="5"/>
    <n v="1"/>
    <n v="1"/>
    <x v="1"/>
    <s v="Vestdanmark"/>
    <n v="5182167.6605635537"/>
    <n v="3972505.784940829"/>
    <n v="0"/>
    <n v="295933.04302308214"/>
    <n v="0"/>
    <n v="0"/>
    <n v="0"/>
    <n v="0"/>
    <n v="913728.83259964269"/>
    <n v="913728.83259964269"/>
    <n v="0"/>
    <n v="3.1293933296172129"/>
    <n v="3.1293933296172129"/>
    <n v="0"/>
    <n v="3.1293933296172129"/>
    <n v="283255.93810588925"/>
    <n v="283255.93810588925"/>
    <n v="0"/>
    <n v="283255.93810588925"/>
  </r>
  <r>
    <x v="23"/>
    <x v="10"/>
    <n v="0"/>
    <n v="0"/>
    <x v="1"/>
    <s v="Vestdanmark"/>
    <n v="0"/>
    <n v="0"/>
    <n v="0"/>
    <n v="0"/>
    <n v="0"/>
    <n v="1499151.6936668851"/>
    <n v="0"/>
    <n v="0"/>
    <n v="-1499151.6936668851"/>
    <n v="0"/>
    <n v="0"/>
    <n v="0"/>
    <n v="0"/>
    <n v="0"/>
    <n v="0"/>
    <n v="0"/>
    <n v="0"/>
    <n v="0"/>
    <n v="0"/>
  </r>
  <r>
    <x v="24"/>
    <x v="2"/>
    <n v="1"/>
    <n v="0"/>
    <x v="1"/>
    <s v="Vestdanmark"/>
    <n v="7655848.0766037833"/>
    <n v="0"/>
    <n v="0"/>
    <n v="0"/>
    <n v="5741886.057452837"/>
    <n v="1913962.0191509458"/>
    <n v="0"/>
    <n v="0"/>
    <n v="0"/>
    <n v="0"/>
    <n v="5741886.057452837"/>
    <n v="0"/>
    <n v="2.9064853034220519"/>
    <n v="2.9064853034220519"/>
    <n v="0"/>
    <n v="0"/>
    <n v="436383.34036641562"/>
    <n v="436383.34036641562"/>
    <n v="0"/>
  </r>
  <r>
    <x v="25"/>
    <x v="10"/>
    <n v="0"/>
    <n v="0"/>
    <x v="1"/>
    <s v="Vestdanmark"/>
    <n v="959947.99719994201"/>
    <n v="1024147.4612402687"/>
    <n v="0"/>
    <n v="0"/>
    <n v="0"/>
    <n v="0"/>
    <n v="0"/>
    <n v="0"/>
    <n v="-64199.464040326653"/>
    <n v="0"/>
    <n v="0"/>
    <n v="0"/>
    <n v="0"/>
    <n v="0"/>
    <n v="0"/>
    <n v="0"/>
    <n v="0"/>
    <n v="0"/>
    <n v="0"/>
  </r>
  <r>
    <x v="26"/>
    <x v="4"/>
    <n v="1"/>
    <n v="1"/>
    <x v="1"/>
    <s v="Vestdanmark"/>
    <n v="4675837.2738896068"/>
    <n v="3822394.3367212149"/>
    <n v="0"/>
    <n v="0"/>
    <n v="0"/>
    <n v="0"/>
    <n v="0"/>
    <n v="0"/>
    <n v="853442.93716839189"/>
    <n v="853442.93716839189"/>
    <n v="0"/>
    <n v="3.063860144434527"/>
    <n v="3.063860144434527"/>
    <n v="0"/>
    <n v="3.063860144434527"/>
    <n v="256032.88115051755"/>
    <n v="256032.88115051755"/>
    <n v="0"/>
    <n v="256032.88115051755"/>
  </r>
  <r>
    <x v="27"/>
    <x v="10"/>
    <n v="0"/>
    <n v="1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56168.51594495419"/>
    <n v="0"/>
    <n v="0"/>
    <n v="60028.253038902265"/>
    <n v="0"/>
    <n v="0"/>
    <n v="0"/>
    <n v="0"/>
    <n v="-3859.7370939480752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</r>
  <r>
    <x v="31"/>
    <x v="7"/>
    <n v="1"/>
    <n v="0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49135.2929393746"/>
    <n v="144663.85534067627"/>
    <n v="0"/>
    <n v="0"/>
    <n v="0"/>
    <n v="0"/>
    <n v="0"/>
    <n v="0"/>
    <n v="104471.43759869834"/>
    <n v="0"/>
    <n v="0"/>
    <n v="0"/>
    <n v="0"/>
    <n v="0"/>
    <n v="0"/>
    <n v="0"/>
    <n v="0"/>
    <n v="0"/>
    <n v="0"/>
  </r>
  <r>
    <x v="37"/>
    <x v="9"/>
    <n v="1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</r>
  <r>
    <x v="38"/>
    <x v="4"/>
    <n v="1"/>
    <n v="1"/>
    <x v="1"/>
    <s v="Vestdanmark"/>
    <n v="1856731.7758593475"/>
    <n v="568365.52370248956"/>
    <n v="0"/>
    <n v="0"/>
    <n v="0"/>
    <n v="0"/>
    <n v="0"/>
    <n v="0"/>
    <n v="1288366.2521568579"/>
    <n v="1288366.2521568579"/>
    <n v="0"/>
    <n v="3.4966775430037984"/>
    <n v="3.4966775430037984"/>
    <n v="0"/>
    <n v="3.4966775430037984"/>
    <n v="257673.25043137159"/>
    <n v="257673.25043137159"/>
    <n v="0"/>
    <n v="257673.25043137159"/>
  </r>
  <r>
    <x v="39"/>
    <x v="10"/>
    <n v="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</r>
  <r>
    <x v="40"/>
    <x v="10"/>
    <n v="0"/>
    <n v="0"/>
    <x v="1"/>
    <s v="Vestdanmark"/>
    <n v="67791.218966454777"/>
    <n v="26632.676297028265"/>
    <n v="0"/>
    <n v="0"/>
    <n v="0"/>
    <n v="0"/>
    <n v="0"/>
    <n v="0"/>
    <n v="41158.542669426512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24256.6047362923"/>
    <n v="0"/>
    <n v="0"/>
    <n v="0"/>
    <n v="2943192.4535522191"/>
    <n v="0"/>
    <n v="0"/>
    <n v="0"/>
    <n v="981064.15118407318"/>
    <n v="981064.15118407318"/>
    <n v="2943192.4535522191"/>
    <n v="0.48956082208236446"/>
    <n v="1.9582432883294574"/>
    <n v="1.468682466247093"/>
    <n v="0.4895608220823644"/>
    <n v="58863.849071044388"/>
    <n v="235455.39628417752"/>
    <n v="176591.54721313313"/>
    <n v="58863.849071044388"/>
  </r>
  <r>
    <x v="42"/>
    <x v="2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</r>
  <r>
    <x v="43"/>
    <x v="10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</r>
  <r>
    <x v="1"/>
    <x v="10"/>
    <n v="0"/>
    <n v="1"/>
    <x v="2"/>
    <s v="Vestdanmark"/>
    <n v="1461503.2991938624"/>
    <n v="5548.5022247895331"/>
    <n v="0"/>
    <n v="0"/>
    <n v="0"/>
    <n v="0"/>
    <n v="0"/>
    <n v="0"/>
    <n v="1455954.7969690729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154707932.21283442"/>
    <n v="0"/>
    <n v="0"/>
    <n v="0"/>
    <n v="0"/>
    <n v="0"/>
    <n v="154707932.21283442"/>
    <n v="0"/>
    <n v="0"/>
    <n v="0"/>
    <n v="154707932.21283442"/>
    <n v="0"/>
    <n v="0"/>
    <n v="0"/>
    <n v="0"/>
    <n v="0"/>
    <n v="0"/>
    <n v="0"/>
    <n v="0"/>
  </r>
  <r>
    <x v="4"/>
    <x v="10"/>
    <n v="0"/>
    <n v="0"/>
    <x v="2"/>
    <s v="Vestdanmark"/>
    <n v="4885897.4700810183"/>
    <n v="0"/>
    <n v="0"/>
    <n v="0"/>
    <n v="0"/>
    <n v="495509.77237359248"/>
    <n v="0"/>
    <n v="0"/>
    <n v="4390387.6977074258"/>
    <n v="0"/>
    <n v="0"/>
    <n v="0"/>
    <n v="0"/>
    <n v="0"/>
    <n v="0"/>
    <n v="0"/>
    <n v="0"/>
    <n v="0"/>
    <n v="0"/>
  </r>
  <r>
    <x v="5"/>
    <x v="1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Vestdanmark"/>
    <n v="396632.81426913757"/>
    <n v="0"/>
    <n v="0"/>
    <n v="0"/>
    <n v="356969.53284222382"/>
    <n v="15015.385111617346"/>
    <n v="0"/>
    <n v="0"/>
    <n v="24647.896315296413"/>
    <n v="24647.896315296413"/>
    <n v="356969.53284222382"/>
    <n v="5.3091568663148472E-2"/>
    <n v="0.82200394240529862"/>
    <n v="0.76891237374215016"/>
    <n v="5.3091568663148458E-2"/>
    <n v="7394.3688945889235"/>
    <n v="114485.22874725607"/>
    <n v="107090.85985266714"/>
    <n v="7394.3688945889298"/>
  </r>
  <r>
    <x v="7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</r>
  <r>
    <x v="9"/>
    <x v="10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27470991.955365088"/>
    <n v="1052751.2346229136"/>
    <n v="0"/>
    <n v="0"/>
    <n v="0"/>
    <n v="0"/>
    <n v="0"/>
    <n v="0"/>
    <n v="26418240.720742173"/>
    <n v="26418240.720742173"/>
    <n v="0"/>
    <n v="48.606260646075512"/>
    <n v="48.606260646075512"/>
    <n v="0"/>
    <n v="48.606260646075512"/>
    <n v="7397107.4018078092"/>
    <n v="7397107.4018078092"/>
    <n v="0"/>
    <n v="7397107.4018078092"/>
  </r>
  <r>
    <x v="14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3574924.4318902972"/>
    <n v="0"/>
    <n v="0"/>
    <n v="280672.65868343826"/>
    <n v="0"/>
    <n v="0"/>
    <n v="0"/>
    <n v="0"/>
    <n v="3294251.7732068589"/>
    <n v="0"/>
    <n v="0"/>
    <n v="0"/>
    <n v="0"/>
    <n v="0"/>
    <n v="0"/>
    <n v="0"/>
    <n v="0"/>
    <n v="0"/>
    <n v="0"/>
  </r>
  <r>
    <x v="16"/>
    <x v="5"/>
    <n v="1"/>
    <n v="0"/>
    <x v="2"/>
    <s v="Vestdanmark"/>
    <n v="1112034.6998953791"/>
    <n v="66504.964166574544"/>
    <n v="50454.584612926636"/>
    <n v="0"/>
    <n v="0"/>
    <n v="0"/>
    <n v="995075.1511158779"/>
    <n v="0"/>
    <n v="0"/>
    <n v="0"/>
    <n v="995075.1511158779"/>
    <n v="0"/>
    <n v="10.284904054818577"/>
    <n v="0"/>
    <n v="10.284904054818577"/>
    <n v="0"/>
    <n v="845813.87844849622"/>
    <n v="0"/>
    <n v="845813.87844849622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415367.04155021644"/>
    <n v="0"/>
    <n v="0"/>
    <n v="0"/>
    <n v="0"/>
    <n v="0"/>
    <n v="0"/>
    <n v="-415367.04155021644"/>
    <n v="0"/>
    <n v="0"/>
    <n v="0"/>
    <n v="0"/>
    <n v="0"/>
    <n v="0"/>
    <n v="0"/>
    <n v="0"/>
    <n v="0"/>
    <n v="0"/>
  </r>
  <r>
    <x v="19"/>
    <x v="1"/>
    <n v="1"/>
    <n v="0"/>
    <x v="2"/>
    <s v="Vestdanmark"/>
    <n v="214268.06810170741"/>
    <n v="0"/>
    <n v="0"/>
    <n v="0"/>
    <n v="0"/>
    <n v="0"/>
    <n v="0"/>
    <n v="0"/>
    <n v="214268.06810170741"/>
    <n v="214268.06810170741"/>
    <n v="0"/>
    <n v="0.92845139393355158"/>
    <n v="0.92845139393355158"/>
    <n v="0"/>
    <n v="0.92845139393355158"/>
    <n v="89992.588602717107"/>
    <n v="89992.588602717107"/>
    <n v="0"/>
    <n v="89992.588602717107"/>
  </r>
  <r>
    <x v="20"/>
    <x v="10"/>
    <n v="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</r>
  <r>
    <x v="21"/>
    <x v="10"/>
    <n v="0"/>
    <n v="1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</r>
  <r>
    <x v="22"/>
    <x v="5"/>
    <n v="1"/>
    <n v="1"/>
    <x v="2"/>
    <s v="Vestdanmark"/>
    <n v="17585.624267945121"/>
    <n v="505761.3902957458"/>
    <n v="0"/>
    <n v="307470.55071854044"/>
    <n v="0"/>
    <n v="0"/>
    <n v="0"/>
    <n v="0"/>
    <n v="-795646.31674634118"/>
    <n v="0"/>
    <n v="0"/>
    <n v="0"/>
    <n v="0"/>
    <n v="0"/>
    <n v="0"/>
    <n v="0"/>
    <n v="0"/>
    <n v="0"/>
    <n v="0"/>
  </r>
  <r>
    <x v="23"/>
    <x v="10"/>
    <n v="0"/>
    <n v="0"/>
    <x v="2"/>
    <s v="Vestdanmark"/>
    <n v="0"/>
    <n v="0"/>
    <n v="0"/>
    <n v="0"/>
    <n v="0"/>
    <n v="3130893.6010473287"/>
    <n v="0"/>
    <n v="0"/>
    <n v="-3130893.6010473287"/>
    <n v="0"/>
    <n v="0"/>
    <n v="0"/>
    <n v="0"/>
    <n v="0"/>
    <n v="0"/>
    <n v="0"/>
    <n v="0"/>
    <n v="0"/>
    <n v="0"/>
  </r>
  <r>
    <x v="24"/>
    <x v="2"/>
    <n v="1"/>
    <n v="0"/>
    <x v="2"/>
    <s v="Vestdanmark"/>
    <n v="784839.05717902537"/>
    <n v="0"/>
    <n v="0"/>
    <n v="0"/>
    <n v="706355.15146112291"/>
    <n v="78483.905717902526"/>
    <n v="0"/>
    <n v="0"/>
    <n v="0"/>
    <n v="0"/>
    <n v="706355.15146112291"/>
    <n v="0"/>
    <n v="0.35754991411810583"/>
    <n v="0.35754991411810583"/>
    <n v="0"/>
    <n v="0"/>
    <n v="53682.991511045337"/>
    <n v="53682.991511045337"/>
    <n v="0"/>
  </r>
  <r>
    <x v="25"/>
    <x v="10"/>
    <n v="0"/>
    <n v="0"/>
    <x v="2"/>
    <s v="Vestdanmark"/>
    <n v="99775.251913510743"/>
    <n v="130389.80228255401"/>
    <n v="0"/>
    <n v="0"/>
    <n v="0"/>
    <n v="0"/>
    <n v="0"/>
    <n v="0"/>
    <n v="-30614.550369043267"/>
    <n v="0"/>
    <n v="0"/>
    <n v="0"/>
    <n v="0"/>
    <n v="0"/>
    <n v="0"/>
    <n v="0"/>
    <n v="0"/>
    <n v="0"/>
    <n v="0"/>
  </r>
  <r>
    <x v="26"/>
    <x v="4"/>
    <n v="1"/>
    <n v="1"/>
    <x v="2"/>
    <s v="Vestdanmark"/>
    <n v="24354.977510479563"/>
    <n v="486649.88263258187"/>
    <n v="0"/>
    <n v="0"/>
    <n v="0"/>
    <n v="0"/>
    <n v="0"/>
    <n v="0"/>
    <n v="-462294.9051221023"/>
    <n v="0"/>
    <n v="0"/>
    <n v="0"/>
    <n v="0"/>
    <n v="0"/>
    <n v="0"/>
    <n v="0"/>
    <n v="0"/>
    <n v="0"/>
    <n v="0"/>
  </r>
  <r>
    <x v="27"/>
    <x v="10"/>
    <n v="0"/>
    <n v="1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3620.6587311595463"/>
    <n v="0"/>
    <n v="0"/>
    <n v="62368.567673274578"/>
    <n v="0"/>
    <n v="0"/>
    <n v="0"/>
    <n v="0"/>
    <n v="-58747.908942115035"/>
    <n v="0"/>
    <n v="0"/>
    <n v="0"/>
    <n v="0"/>
    <n v="0"/>
    <n v="0"/>
    <n v="0"/>
    <n v="0"/>
    <n v="0"/>
    <n v="0"/>
  </r>
  <r>
    <x v="30"/>
    <x v="10"/>
    <n v="0"/>
    <n v="1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</r>
  <r>
    <x v="31"/>
    <x v="7"/>
    <n v="1"/>
    <n v="0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</r>
  <r>
    <x v="35"/>
    <x v="10"/>
    <n v="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498114.85938403377"/>
    <n v="18417.944885065255"/>
    <n v="0"/>
    <n v="0"/>
    <n v="0"/>
    <n v="0"/>
    <n v="0"/>
    <n v="0"/>
    <n v="479696.91449896852"/>
    <n v="0"/>
    <n v="0"/>
    <n v="0"/>
    <n v="0"/>
    <n v="0"/>
    <n v="0"/>
    <n v="0"/>
    <n v="0"/>
    <n v="0"/>
    <n v="0"/>
  </r>
  <r>
    <x v="37"/>
    <x v="9"/>
    <n v="1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</r>
  <r>
    <x v="38"/>
    <x v="4"/>
    <n v="1"/>
    <n v="1"/>
    <x v="2"/>
    <s v="Vestdanmark"/>
    <n v="328.27548713856038"/>
    <n v="72361.716514963497"/>
    <n v="0"/>
    <n v="0"/>
    <n v="0"/>
    <n v="0"/>
    <n v="0"/>
    <n v="0"/>
    <n v="-72033.441027824942"/>
    <n v="0"/>
    <n v="0"/>
    <n v="0"/>
    <n v="0"/>
    <n v="0"/>
    <n v="0"/>
    <n v="0"/>
    <n v="0"/>
    <n v="0"/>
    <n v="0"/>
  </r>
  <r>
    <x v="39"/>
    <x v="10"/>
    <n v="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</r>
  <r>
    <x v="40"/>
    <x v="10"/>
    <n v="0"/>
    <n v="0"/>
    <x v="2"/>
    <s v="Vestdanmark"/>
    <n v="3160.1886401433912"/>
    <n v="3390.7513595936034"/>
    <n v="0"/>
    <n v="0"/>
    <n v="0"/>
    <n v="0"/>
    <n v="0"/>
    <n v="0"/>
    <n v="-230.56271945021217"/>
    <n v="0"/>
    <n v="0"/>
    <n v="0"/>
    <n v="0"/>
    <n v="0"/>
    <n v="0"/>
    <n v="0"/>
    <n v="0"/>
    <n v="0"/>
    <n v="0"/>
  </r>
  <r>
    <x v="41"/>
    <x v="1"/>
    <n v="1"/>
    <n v="0"/>
    <x v="2"/>
    <s v="Vestdanmark"/>
    <n v="4009828.1565030687"/>
    <n v="0"/>
    <n v="0"/>
    <n v="0"/>
    <n v="3608845.3408527621"/>
    <n v="0"/>
    <n v="0"/>
    <n v="0"/>
    <n v="400982.81565030664"/>
    <n v="400982.81565030664"/>
    <n v="3608845.3408527621"/>
    <n v="0.20009443483765954"/>
    <n v="2.0009443483765965"/>
    <n v="1.8008499135389371"/>
    <n v="0.20009443483765943"/>
    <n v="24058.968939018399"/>
    <n v="240589.68939018412"/>
    <n v="216530.72045116572"/>
    <n v="24058.968939018407"/>
  </r>
  <r>
    <x v="42"/>
    <x v="2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</r>
  <r>
    <x v="1"/>
    <x v="10"/>
    <n v="0"/>
    <n v="1"/>
    <x v="1"/>
    <s v="Østdanmark"/>
    <n v="239056.41929509072"/>
    <n v="5329.6233117734955"/>
    <n v="0"/>
    <n v="0"/>
    <n v="0"/>
    <n v="0"/>
    <n v="0"/>
    <n v="0"/>
    <n v="233726.79598331722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93239749.064297408"/>
    <n v="0"/>
    <n v="0"/>
    <n v="0"/>
    <n v="0"/>
    <n v="0"/>
    <n v="93239749.064297408"/>
    <n v="0"/>
    <n v="0"/>
    <n v="0"/>
    <n v="93239749.064297408"/>
    <n v="0"/>
    <n v="0"/>
    <n v="0"/>
    <n v="0"/>
    <n v="0"/>
    <n v="0"/>
    <n v="0"/>
    <n v="0"/>
  </r>
  <r>
    <x v="4"/>
    <x v="10"/>
    <n v="0"/>
    <n v="0"/>
    <x v="1"/>
    <s v="Østdanmark"/>
    <n v="3926338.169828245"/>
    <n v="0"/>
    <n v="0"/>
    <n v="0"/>
    <n v="0"/>
    <n v="2691211.5260409825"/>
    <n v="0"/>
    <n v="0"/>
    <n v="1235126.6437872625"/>
    <n v="0"/>
    <n v="0"/>
    <n v="0"/>
    <n v="0"/>
    <n v="0"/>
    <n v="0"/>
    <n v="0"/>
    <n v="0"/>
    <n v="0"/>
    <n v="0"/>
  </r>
  <r>
    <x v="5"/>
    <x v="1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Østdanmark"/>
    <n v="342788.14875582355"/>
    <n v="0"/>
    <n v="0"/>
    <n v="0"/>
    <n v="257091.11156686768"/>
    <n v="32442.449792961874"/>
    <n v="0"/>
    <n v="0"/>
    <n v="53254.587395993993"/>
    <n v="53254.587395993993"/>
    <n v="257091.11156686768"/>
    <n v="0.11471038125097106"/>
    <n v="0.66848463556600413"/>
    <n v="0.55377425431503302"/>
    <n v="0.11471038125097111"/>
    <n v="15976.376218798197"/>
    <n v="93103.709688858493"/>
    <n v="77127.333470060301"/>
    <n v="15976.376218798192"/>
  </r>
  <r>
    <x v="7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</r>
  <r>
    <x v="9"/>
    <x v="10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</r>
  <r>
    <x v="10"/>
    <x v="10"/>
    <n v="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</r>
  <r>
    <x v="11"/>
    <x v="10"/>
    <n v="0"/>
    <n v="1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3398874.4701964208"/>
    <n v="1011222.0008630237"/>
    <n v="0"/>
    <n v="0"/>
    <n v="0"/>
    <n v="0"/>
    <n v="0"/>
    <n v="0"/>
    <n v="2387652.4693333972"/>
    <n v="2387652.4693333972"/>
    <n v="0"/>
    <n v="4.3929820870147847"/>
    <n v="4.3929820870147847"/>
    <n v="0"/>
    <n v="4.3929820870147847"/>
    <n v="668542.69141335133"/>
    <n v="668542.69141335133"/>
    <n v="0"/>
    <n v="668542.69141335133"/>
  </r>
  <r>
    <x v="14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354031.79838602385"/>
    <n v="0"/>
    <n v="0"/>
    <n v="233902.44520004498"/>
    <n v="0"/>
    <n v="0"/>
    <n v="0"/>
    <n v="0"/>
    <n v="120129.35318597886"/>
    <n v="0"/>
    <n v="0"/>
    <n v="0"/>
    <n v="0"/>
    <n v="0"/>
    <n v="0"/>
    <n v="0"/>
    <n v="0"/>
    <n v="0"/>
    <n v="0"/>
  </r>
  <r>
    <x v="16"/>
    <x v="5"/>
    <n v="1"/>
    <n v="0"/>
    <x v="1"/>
    <s v="Østdanmark"/>
    <n v="739772.0117577652"/>
    <n v="63881.457195285089"/>
    <n v="66924.669018519271"/>
    <n v="0"/>
    <n v="0"/>
    <n v="0"/>
    <n v="608965.88554396096"/>
    <n v="0"/>
    <n v="0"/>
    <n v="0"/>
    <n v="608965.88554396096"/>
    <n v="0"/>
    <n v="6.2941534601218443"/>
    <n v="0"/>
    <n v="6.2941534601218443"/>
    <n v="0"/>
    <n v="517621.00271236681"/>
    <n v="0"/>
    <n v="517621.00271236681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398981.52292304358"/>
    <n v="0"/>
    <n v="0"/>
    <n v="0"/>
    <n v="0"/>
    <n v="0"/>
    <n v="0"/>
    <n v="-398981.52292304358"/>
    <n v="0"/>
    <n v="0"/>
    <n v="0"/>
    <n v="0"/>
    <n v="0"/>
    <n v="0"/>
    <n v="0"/>
    <n v="0"/>
    <n v="0"/>
    <n v="0"/>
  </r>
  <r>
    <x v="19"/>
    <x v="1"/>
    <n v="1"/>
    <n v="0"/>
    <x v="1"/>
    <s v="Østdanmark"/>
    <n v="189258.59939962387"/>
    <n v="0"/>
    <n v="0"/>
    <n v="0"/>
    <n v="0"/>
    <n v="0"/>
    <n v="0"/>
    <n v="0"/>
    <n v="189258.59939962387"/>
    <n v="189258.59939962387"/>
    <n v="0"/>
    <n v="0.82008211481649229"/>
    <n v="0.82008211481649229"/>
    <n v="0"/>
    <n v="0.82008211481649229"/>
    <n v="79488.61174784202"/>
    <n v="79488.61174784202"/>
    <n v="0"/>
    <n v="79488.61174784202"/>
  </r>
  <r>
    <x v="20"/>
    <x v="10"/>
    <n v="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</r>
  <r>
    <x v="21"/>
    <x v="10"/>
    <n v="0"/>
    <n v="1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</r>
  <r>
    <x v="22"/>
    <x v="5"/>
    <n v="1"/>
    <n v="1"/>
    <x v="1"/>
    <s v="Østdanmark"/>
    <n v="1526601.9040028804"/>
    <n v="485809.96937735338"/>
    <n v="0"/>
    <n v="256234.83946537593"/>
    <n v="0"/>
    <n v="0"/>
    <n v="0"/>
    <n v="0"/>
    <n v="784557.09516015113"/>
    <n v="784557.09516015113"/>
    <n v="0"/>
    <n v="2.6869982129301957"/>
    <n v="2.6869982129301957"/>
    <n v="0"/>
    <n v="2.6869982129301957"/>
    <n v="243212.69949964684"/>
    <n v="243212.69949964684"/>
    <n v="0"/>
    <n v="243212.69949964684"/>
  </r>
  <r>
    <x v="23"/>
    <x v="10"/>
    <n v="0"/>
    <n v="0"/>
    <x v="1"/>
    <s v="Østdanmark"/>
    <n v="0"/>
    <n v="0"/>
    <n v="0"/>
    <n v="0"/>
    <n v="0"/>
    <n v="486481.53306433168"/>
    <n v="0"/>
    <n v="0"/>
    <n v="-486481.53306433168"/>
    <n v="0"/>
    <n v="0"/>
    <n v="0"/>
    <n v="0"/>
    <n v="0"/>
    <n v="0"/>
    <n v="0"/>
    <n v="0"/>
    <n v="0"/>
    <n v="0"/>
  </r>
  <r>
    <x v="24"/>
    <x v="2"/>
    <n v="1"/>
    <n v="0"/>
    <x v="1"/>
    <s v="Østdanmark"/>
    <n v="544131.82132200396"/>
    <n v="0"/>
    <n v="0"/>
    <n v="0"/>
    <n v="408098.865991503"/>
    <n v="136032.95533050099"/>
    <n v="0"/>
    <n v="0"/>
    <n v="0"/>
    <n v="0"/>
    <n v="408098.865991503"/>
    <n v="0"/>
    <n v="0.20657556497623894"/>
    <n v="0.20657556497623894"/>
    <n v="0"/>
    <n v="0"/>
    <n v="31015.513815354228"/>
    <n v="31015.513815354228"/>
    <n v="0"/>
  </r>
  <r>
    <x v="25"/>
    <x v="10"/>
    <n v="0"/>
    <n v="0"/>
    <x v="1"/>
    <s v="Østdanmark"/>
    <n v="68227.353372786543"/>
    <n v="125246.14782667712"/>
    <n v="0"/>
    <n v="0"/>
    <n v="0"/>
    <n v="0"/>
    <n v="0"/>
    <n v="0"/>
    <n v="-57018.794453890572"/>
    <n v="0"/>
    <n v="0"/>
    <n v="0"/>
    <n v="0"/>
    <n v="0"/>
    <n v="0"/>
    <n v="0"/>
    <n v="0"/>
    <n v="0"/>
    <n v="0"/>
  </r>
  <r>
    <x v="26"/>
    <x v="4"/>
    <n v="1"/>
    <n v="1"/>
    <x v="1"/>
    <s v="Østdanmark"/>
    <n v="1317840.691777108"/>
    <n v="467452.37797013356"/>
    <n v="0"/>
    <n v="0"/>
    <n v="0"/>
    <n v="0"/>
    <n v="0"/>
    <n v="0"/>
    <n v="850388.31380697445"/>
    <n v="850388.31380697445"/>
    <n v="0"/>
    <n v="3.0528940465670384"/>
    <n v="3.0528940465670384"/>
    <n v="0"/>
    <n v="3.0528940465670384"/>
    <n v="255116.49414209233"/>
    <n v="255116.49414209233"/>
    <n v="0"/>
    <n v="255116.49414209233"/>
  </r>
  <r>
    <x v="27"/>
    <x v="10"/>
    <n v="0"/>
    <n v="1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3992.121653443267"/>
    <n v="0"/>
    <n v="0"/>
    <n v="51975.70917962808"/>
    <n v="0"/>
    <n v="0"/>
    <n v="0"/>
    <n v="0"/>
    <n v="-47983.587526184812"/>
    <n v="0"/>
    <n v="0"/>
    <n v="0"/>
    <n v="0"/>
    <n v="0"/>
    <n v="0"/>
    <n v="0"/>
    <n v="0"/>
    <n v="0"/>
    <n v="0"/>
  </r>
  <r>
    <x v="30"/>
    <x v="10"/>
    <n v="0"/>
    <n v="1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</r>
  <r>
    <x v="31"/>
    <x v="7"/>
    <n v="1"/>
    <n v="0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</r>
  <r>
    <x v="35"/>
    <x v="10"/>
    <n v="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74137.429033384717"/>
    <n v="17691.388493248127"/>
    <n v="0"/>
    <n v="0"/>
    <n v="0"/>
    <n v="0"/>
    <n v="0"/>
    <n v="0"/>
    <n v="56446.040540136586"/>
    <n v="0"/>
    <n v="0"/>
    <n v="0"/>
    <n v="0"/>
    <n v="0"/>
    <n v="0"/>
    <n v="0"/>
    <n v="0"/>
    <n v="0"/>
    <n v="0"/>
  </r>
  <r>
    <x v="37"/>
    <x v="9"/>
    <n v="1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</r>
  <r>
    <x v="38"/>
    <x v="4"/>
    <n v="1"/>
    <n v="1"/>
    <x v="1"/>
    <s v="Østdanmark"/>
    <n v="568748.18023765879"/>
    <n v="69507.170691045991"/>
    <n v="0"/>
    <n v="0"/>
    <n v="0"/>
    <n v="0"/>
    <n v="0"/>
    <n v="0"/>
    <n v="499241.0095466128"/>
    <n v="499241.0095466128"/>
    <n v="0"/>
    <n v="1.3549600695498889"/>
    <n v="1.3549600695498889"/>
    <n v="0"/>
    <n v="1.3549600695498889"/>
    <n v="99848.201909322568"/>
    <n v="99848.201909322568"/>
    <n v="0"/>
    <n v="99848.201909322568"/>
  </r>
  <r>
    <x v="39"/>
    <x v="10"/>
    <n v="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</r>
  <r>
    <x v="40"/>
    <x v="10"/>
    <n v="0"/>
    <n v="0"/>
    <x v="1"/>
    <s v="Østdanmark"/>
    <n v="9557.2932196157453"/>
    <n v="3256.9920238615805"/>
    <n v="0"/>
    <n v="0"/>
    <n v="0"/>
    <n v="0"/>
    <n v="0"/>
    <n v="0"/>
    <n v="6300.3011957541648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0524.9539653622"/>
    <n v="0"/>
    <n v="0"/>
    <n v="0"/>
    <n v="2505393.7154740216"/>
    <n v="0"/>
    <n v="0"/>
    <n v="0"/>
    <n v="835131.23849134054"/>
    <n v="835131.23849134054"/>
    <n v="2505393.7154740216"/>
    <n v="0.4167388393195639"/>
    <n v="1.6669553572782556"/>
    <n v="1.2502165179586917"/>
    <n v="0.4167388393195639"/>
    <n v="50107.87430948043"/>
    <n v="200431.49723792172"/>
    <n v="150323.6229284413"/>
    <n v="50107.874309480423"/>
  </r>
  <r>
    <x v="42"/>
    <x v="2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</r>
  <r>
    <x v="43"/>
    <x v="10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</r>
  <r>
    <x v="1"/>
    <x v="10"/>
    <n v="0"/>
    <n v="1"/>
    <x v="2"/>
    <s v="Østdanmark"/>
    <n v="457930.53874458285"/>
    <n v="625.99887183421856"/>
    <n v="0"/>
    <n v="0"/>
    <n v="0"/>
    <n v="0"/>
    <n v="0"/>
    <n v="0"/>
    <n v="457304.53987274866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81094605.554408431"/>
    <n v="0"/>
    <n v="0"/>
    <n v="0"/>
    <n v="0"/>
    <n v="0"/>
    <n v="81094605.554408431"/>
    <n v="0"/>
    <n v="0"/>
    <n v="0"/>
    <n v="81094605.554408431"/>
    <n v="0"/>
    <n v="0"/>
    <n v="0"/>
    <n v="0"/>
    <n v="0"/>
    <n v="0"/>
    <n v="0"/>
    <n v="0"/>
  </r>
  <r>
    <x v="4"/>
    <x v="10"/>
    <n v="0"/>
    <n v="0"/>
    <x v="2"/>
    <s v="Østdanmark"/>
    <n v="3428084.2294498845"/>
    <n v="0"/>
    <n v="0"/>
    <n v="0"/>
    <n v="0"/>
    <n v="347663.70899388671"/>
    <n v="0"/>
    <n v="0"/>
    <n v="3080420.5204559979"/>
    <n v="0"/>
    <n v="0"/>
    <n v="0"/>
    <n v="0"/>
    <n v="0"/>
    <n v="0"/>
    <n v="0"/>
    <n v="0"/>
    <n v="0"/>
    <n v="0"/>
  </r>
  <r>
    <x v="5"/>
    <x v="1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Østdanmark"/>
    <n v="55702.787923842719"/>
    <n v="0"/>
    <n v="0"/>
    <n v="0"/>
    <n v="50132.50913145845"/>
    <n v="2108.7483999740452"/>
    <n v="0"/>
    <n v="0"/>
    <n v="3461.5303924102263"/>
    <n v="3461.5303924102263"/>
    <n v="50132.50913145845"/>
    <n v="7.4561364652516275E-3"/>
    <n v="0.11544156113441313"/>
    <n v="0.1079854246691615"/>
    <n v="7.456136465251631E-3"/>
    <n v="1038.4591177230679"/>
    <n v="16078.211857160602"/>
    <n v="15039.752739437534"/>
    <n v="1038.4591177230686"/>
  </r>
  <r>
    <x v="7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</r>
  <r>
    <x v="9"/>
    <x v="10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</r>
  <r>
    <x v="10"/>
    <x v="10"/>
    <n v="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</r>
  <r>
    <x v="11"/>
    <x v="10"/>
    <n v="0"/>
    <n v="1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8580695.4718173929"/>
    <n v="118774.59150176747"/>
    <n v="0"/>
    <n v="0"/>
    <n v="0"/>
    <n v="0"/>
    <n v="0"/>
    <n v="0"/>
    <n v="8461920.880315626"/>
    <n v="8461920.880315626"/>
    <n v="0"/>
    <n v="15.568876679670714"/>
    <n v="15.568876679670714"/>
    <n v="0"/>
    <n v="15.568876679670714"/>
    <n v="2369337.8464883757"/>
    <n v="2369337.8464883757"/>
    <n v="0"/>
    <n v="2369337.8464883757"/>
  </r>
  <r>
    <x v="14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120623.182681245"/>
    <n v="0"/>
    <n v="0"/>
    <n v="244869.51675001203"/>
    <n v="0"/>
    <n v="0"/>
    <n v="0"/>
    <n v="0"/>
    <n v="875753.66593123297"/>
    <n v="0"/>
    <n v="0"/>
    <n v="0"/>
    <n v="0"/>
    <n v="0"/>
    <n v="0"/>
    <n v="0"/>
    <n v="0"/>
    <n v="0"/>
    <n v="0"/>
  </r>
  <r>
    <x v="16"/>
    <x v="5"/>
    <n v="1"/>
    <n v="0"/>
    <x v="2"/>
    <s v="Østdanmark"/>
    <n v="347850.99679471884"/>
    <n v="7503.2920332351478"/>
    <n v="6747.0089475501663"/>
    <n v="0"/>
    <n v="0"/>
    <n v="0"/>
    <n v="333600.69581393356"/>
    <n v="0"/>
    <n v="0"/>
    <n v="0"/>
    <n v="333600.69581393356"/>
    <n v="0"/>
    <n v="3.4480321865332897"/>
    <n v="0"/>
    <n v="3.4480321865332897"/>
    <n v="0"/>
    <n v="283560.59144184354"/>
    <n v="0"/>
    <n v="283560.59144184354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46862.971099811642"/>
    <n v="0"/>
    <n v="0"/>
    <n v="0"/>
    <n v="0"/>
    <n v="0"/>
    <n v="0"/>
    <n v="-46862.971099811642"/>
    <n v="0"/>
    <n v="0"/>
    <n v="0"/>
    <n v="0"/>
    <n v="0"/>
    <n v="0"/>
    <n v="0"/>
    <n v="0"/>
    <n v="0"/>
    <n v="0"/>
  </r>
  <r>
    <x v="19"/>
    <x v="1"/>
    <n v="1"/>
    <n v="0"/>
    <x v="2"/>
    <s v="Østdanmark"/>
    <n v="168100.3533838705"/>
    <n v="0"/>
    <n v="0"/>
    <n v="0"/>
    <n v="0"/>
    <n v="0"/>
    <n v="0"/>
    <n v="0"/>
    <n v="168100.3533838705"/>
    <n v="168100.3533838705"/>
    <n v="0"/>
    <n v="0.72840068425825089"/>
    <n v="0.72840068425825089"/>
    <n v="0"/>
    <n v="0.72840068425825089"/>
    <n v="70602.148421225604"/>
    <n v="70602.148421225604"/>
    <n v="0"/>
    <n v="70602.148421225604"/>
  </r>
  <r>
    <x v="20"/>
    <x v="10"/>
    <n v="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</r>
  <r>
    <x v="21"/>
    <x v="10"/>
    <n v="0"/>
    <n v="1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</r>
  <r>
    <x v="22"/>
    <x v="5"/>
    <n v="1"/>
    <n v="1"/>
    <x v="2"/>
    <s v="Østdanmark"/>
    <n v="3503.8972601034743"/>
    <n v="57061.536053444106"/>
    <n v="0"/>
    <n v="268249.01834925939"/>
    <n v="0"/>
    <n v="0"/>
    <n v="0"/>
    <n v="0"/>
    <n v="-321806.65714259999"/>
    <n v="0"/>
    <n v="0"/>
    <n v="0"/>
    <n v="0"/>
    <n v="0"/>
    <n v="0"/>
    <n v="0"/>
    <n v="0"/>
    <n v="0"/>
    <n v="0"/>
  </r>
  <r>
    <x v="23"/>
    <x v="10"/>
    <n v="0"/>
    <n v="0"/>
    <x v="2"/>
    <s v="Østdanmark"/>
    <n v="0"/>
    <n v="0"/>
    <n v="0"/>
    <n v="0"/>
    <n v="0"/>
    <n v="973432.69438373833"/>
    <n v="0"/>
    <n v="0"/>
    <n v="-973432.69438373833"/>
    <n v="0"/>
    <n v="0"/>
    <n v="0"/>
    <n v="0"/>
    <n v="0"/>
    <n v="0"/>
    <n v="0"/>
    <n v="0"/>
    <n v="0"/>
    <n v="0"/>
  </r>
  <r>
    <x v="24"/>
    <x v="2"/>
    <n v="1"/>
    <n v="0"/>
    <x v="2"/>
    <s v="Østdanmark"/>
    <n v="55781.658851427252"/>
    <n v="0"/>
    <n v="0"/>
    <n v="0"/>
    <n v="50203.492966284524"/>
    <n v="5578.1658851427237"/>
    <n v="0"/>
    <n v="0"/>
    <n v="0"/>
    <n v="0"/>
    <n v="50203.492966284524"/>
    <n v="0"/>
    <n v="2.5412506104603567E-2"/>
    <n v="2.5412506104603567E-2"/>
    <n v="0"/>
    <n v="0"/>
    <n v="3815.4654654376236"/>
    <n v="3815.4654654376236"/>
    <n v="0"/>
  </r>
  <r>
    <x v="25"/>
    <x v="10"/>
    <n v="0"/>
    <n v="0"/>
    <x v="2"/>
    <s v="Østdanmark"/>
    <n v="7091.4272335775522"/>
    <n v="14710.973488104135"/>
    <n v="0"/>
    <n v="0"/>
    <n v="0"/>
    <n v="0"/>
    <n v="0"/>
    <n v="0"/>
    <n v="-7619.5462545265827"/>
    <n v="0"/>
    <n v="0"/>
    <n v="0"/>
    <n v="0"/>
    <n v="0"/>
    <n v="0"/>
    <n v="0"/>
    <n v="0"/>
    <n v="0"/>
    <n v="0"/>
  </r>
  <r>
    <x v="26"/>
    <x v="4"/>
    <n v="1"/>
    <n v="1"/>
    <x v="2"/>
    <s v="Østdanmark"/>
    <n v="705.63788017957472"/>
    <n v="54905.31771712625"/>
    <n v="0"/>
    <n v="0"/>
    <n v="0"/>
    <n v="0"/>
    <n v="0"/>
    <n v="0"/>
    <n v="-54199.679836946678"/>
    <n v="0"/>
    <n v="0"/>
    <n v="0"/>
    <n v="0"/>
    <n v="0"/>
    <n v="0"/>
    <n v="0"/>
    <n v="0"/>
    <n v="0"/>
    <n v="0"/>
  </r>
  <r>
    <x v="27"/>
    <x v="10"/>
    <n v="0"/>
    <n v="1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257.33473418730972"/>
    <n v="0"/>
    <n v="0"/>
    <n v="54412.71372203785"/>
    <n v="0"/>
    <n v="0"/>
    <n v="0"/>
    <n v="0"/>
    <n v="-54155.378987850541"/>
    <n v="0"/>
    <n v="0"/>
    <n v="0"/>
    <n v="0"/>
    <n v="0"/>
    <n v="0"/>
    <n v="0"/>
    <n v="0"/>
    <n v="0"/>
    <n v="0"/>
  </r>
  <r>
    <x v="30"/>
    <x v="10"/>
    <n v="0"/>
    <n v="1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</r>
  <r>
    <x v="31"/>
    <x v="7"/>
    <n v="1"/>
    <n v="0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</r>
  <r>
    <x v="35"/>
    <x v="10"/>
    <n v="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56105.30374345958"/>
    <n v="2077.9684773385866"/>
    <n v="0"/>
    <n v="0"/>
    <n v="0"/>
    <n v="0"/>
    <n v="0"/>
    <n v="0"/>
    <n v="154027.33526612099"/>
    <n v="0"/>
    <n v="0"/>
    <n v="0"/>
    <n v="0"/>
    <n v="0"/>
    <n v="0"/>
    <n v="0"/>
    <n v="0"/>
    <n v="0"/>
    <n v="0"/>
  </r>
  <r>
    <x v="37"/>
    <x v="9"/>
    <n v="1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</r>
  <r>
    <x v="38"/>
    <x v="4"/>
    <n v="1"/>
    <n v="1"/>
    <x v="2"/>
    <s v="Østdanmark"/>
    <n v="1151.564385499476"/>
    <n v="8164.068620171267"/>
    <n v="0"/>
    <n v="0"/>
    <n v="0"/>
    <n v="0"/>
    <n v="0"/>
    <n v="0"/>
    <n v="-7012.504234671791"/>
    <n v="0"/>
    <n v="0"/>
    <n v="0"/>
    <n v="0"/>
    <n v="0"/>
    <n v="0"/>
    <n v="0"/>
    <n v="0"/>
    <n v="0"/>
    <n v="0"/>
  </r>
  <r>
    <x v="39"/>
    <x v="10"/>
    <n v="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</r>
  <r>
    <x v="40"/>
    <x v="10"/>
    <n v="0"/>
    <n v="0"/>
    <x v="2"/>
    <s v="Østdanmark"/>
    <n v="440.79056937463145"/>
    <n v="382.55486612091136"/>
    <n v="0"/>
    <n v="0"/>
    <n v="0"/>
    <n v="0"/>
    <n v="0"/>
    <n v="0"/>
    <n v="58.235703253720089"/>
    <n v="0"/>
    <n v="0"/>
    <n v="0"/>
    <n v="0"/>
    <n v="0"/>
    <n v="0"/>
    <n v="0"/>
    <n v="0"/>
    <n v="0"/>
    <n v="0"/>
  </r>
  <r>
    <x v="41"/>
    <x v="1"/>
    <n v="1"/>
    <n v="0"/>
    <x v="2"/>
    <s v="Østdanmark"/>
    <n v="3492320.8870792342"/>
    <n v="0"/>
    <n v="0"/>
    <n v="0"/>
    <n v="3143088.7983713108"/>
    <n v="0"/>
    <n v="0"/>
    <n v="0"/>
    <n v="349232.08870792342"/>
    <n v="349232.08870792342"/>
    <n v="3143088.7983713108"/>
    <n v="0.1742703045861409"/>
    <n v="1.742703045861409"/>
    <n v="1.5684327412752681"/>
    <n v="0.1742703045861409"/>
    <n v="20953.925322475403"/>
    <n v="209539.25322475404"/>
    <n v="188585.32790227863"/>
    <n v="20953.925322475407"/>
  </r>
  <r>
    <x v="42"/>
    <x v="2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T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9">
    <i>
      <x/>
    </i>
    <i>
      <x v="2"/>
    </i>
    <i>
      <x v="5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22"/>
    </i>
    <i>
      <x v="24"/>
    </i>
    <i>
      <x v="25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8">
      <pivotArea outline="0" collapsedLevelsAreSubtotals="1" fieldPosition="0"/>
    </format>
  </formats>
  <chartFormats count="141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6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4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6" format="5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7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B2" sqref="B2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5" ht="20.399999999999999" x14ac:dyDescent="0.75">
      <c r="A1" s="408" t="s">
        <v>269</v>
      </c>
      <c r="B1" s="408"/>
      <c r="D1" s="73" t="s">
        <v>282</v>
      </c>
    </row>
    <row r="2" spans="1:5" x14ac:dyDescent="0.55000000000000004">
      <c r="A2" s="6" t="s">
        <v>0</v>
      </c>
      <c r="B2" s="201" t="s">
        <v>336</v>
      </c>
    </row>
    <row r="4" spans="1:5" ht="30" customHeight="1" thickBot="1" x14ac:dyDescent="0.6">
      <c r="A4" s="407" t="s">
        <v>268</v>
      </c>
      <c r="B4" s="407"/>
      <c r="D4" s="73"/>
    </row>
    <row r="5" spans="1:5" ht="14.7" thickTop="1" x14ac:dyDescent="0.55000000000000004">
      <c r="A5" s="233" t="s">
        <v>85</v>
      </c>
      <c r="B5" s="232" t="s">
        <v>302</v>
      </c>
      <c r="D5" s="189" t="s">
        <v>43</v>
      </c>
      <c r="E5" s="190"/>
    </row>
    <row r="6" spans="1:5" x14ac:dyDescent="0.55000000000000004">
      <c r="A6" s="184" t="s">
        <v>83</v>
      </c>
      <c r="B6" s="185" t="s">
        <v>256</v>
      </c>
      <c r="D6" s="191" t="str" cm="1">
        <f t="array" ref="D6">[1]!Jordbund1</f>
        <v>JB1-10</v>
      </c>
      <c r="E6" s="192" t="s">
        <v>44</v>
      </c>
    </row>
    <row r="7" spans="1:5" x14ac:dyDescent="0.55000000000000004">
      <c r="A7" s="184"/>
      <c r="B7" s="185" t="s">
        <v>2</v>
      </c>
      <c r="D7" s="191" t="str" cm="1">
        <f t="array" ref="D7">[1]!Organ6</f>
        <v>OC6</v>
      </c>
      <c r="E7" s="192" t="s">
        <v>45</v>
      </c>
    </row>
    <row r="8" spans="1:5" x14ac:dyDescent="0.55000000000000004">
      <c r="A8" s="199" t="s">
        <v>91</v>
      </c>
      <c r="B8" s="185" t="s">
        <v>257</v>
      </c>
      <c r="D8" s="191" t="str" cm="1">
        <f t="array" ref="D8">[1]!Organ12</f>
        <v>OC12</v>
      </c>
      <c r="E8" s="192" t="s">
        <v>46</v>
      </c>
    </row>
    <row r="9" spans="1:5" x14ac:dyDescent="0.55000000000000004">
      <c r="A9" s="184" t="s">
        <v>92</v>
      </c>
      <c r="B9" s="185" t="s">
        <v>258</v>
      </c>
      <c r="D9" s="191"/>
      <c r="E9" s="192"/>
    </row>
    <row r="10" spans="1:5" x14ac:dyDescent="0.55000000000000004">
      <c r="A10" s="184"/>
      <c r="B10" s="185"/>
      <c r="D10" s="193" t="s">
        <v>47</v>
      </c>
      <c r="E10" s="192"/>
    </row>
    <row r="11" spans="1:5" x14ac:dyDescent="0.55000000000000004">
      <c r="A11" s="199" t="s">
        <v>68</v>
      </c>
      <c r="B11" s="200" t="s">
        <v>259</v>
      </c>
      <c r="D11" s="191" t="str" cm="1">
        <f t="array" ref="D11">[1]!Bebyg</f>
        <v>Bebyggelse &amp; infrastruktur</v>
      </c>
      <c r="E11" s="192"/>
    </row>
    <row r="12" spans="1:5" x14ac:dyDescent="0.55000000000000004">
      <c r="A12" s="184" t="s">
        <v>253</v>
      </c>
      <c r="B12" s="185" t="s">
        <v>260</v>
      </c>
      <c r="D12" s="191" t="str" cm="1">
        <f t="array" ref="D12">[1]!Afgrøder</f>
        <v>Landbrugsafgrøder</v>
      </c>
      <c r="E12" s="192"/>
    </row>
    <row r="13" spans="1:5" x14ac:dyDescent="0.55000000000000004">
      <c r="A13" s="184"/>
      <c r="B13" s="185"/>
      <c r="D13" s="191" t="str" cm="1">
        <f t="array" ref="D13">[1]!SkovAreal</f>
        <v>Skov</v>
      </c>
      <c r="E13" s="192"/>
    </row>
    <row r="14" spans="1:5" x14ac:dyDescent="0.55000000000000004">
      <c r="A14" s="199" t="s">
        <v>69</v>
      </c>
      <c r="B14" s="200" t="s">
        <v>261</v>
      </c>
      <c r="D14" s="191" t="str" cm="1">
        <f t="array" ref="D14">[1]!NaturAreal</f>
        <v>Natur</v>
      </c>
      <c r="E14" s="192"/>
    </row>
    <row r="15" spans="1:5" x14ac:dyDescent="0.55000000000000004">
      <c r="A15" s="184" t="s">
        <v>70</v>
      </c>
      <c r="B15" s="185" t="s">
        <v>262</v>
      </c>
      <c r="D15" s="191" t="str" cm="1">
        <f t="array" ref="D15">[1]!IKareal</f>
        <v>Ikke klassificeret</v>
      </c>
      <c r="E15" s="192"/>
    </row>
    <row r="16" spans="1:5" x14ac:dyDescent="0.55000000000000004">
      <c r="A16" s="184" t="s">
        <v>71</v>
      </c>
      <c r="B16" s="185"/>
      <c r="D16" s="194"/>
      <c r="E16" s="192"/>
    </row>
    <row r="17" spans="1:5" x14ac:dyDescent="0.55000000000000004">
      <c r="A17" s="184" t="s">
        <v>72</v>
      </c>
      <c r="B17" s="200" t="s">
        <v>266</v>
      </c>
      <c r="D17" s="195" t="s">
        <v>93</v>
      </c>
      <c r="E17" s="192"/>
    </row>
    <row r="18" spans="1:5" x14ac:dyDescent="0.55000000000000004">
      <c r="A18" s="184" t="s">
        <v>73</v>
      </c>
      <c r="B18" s="409" t="s">
        <v>270</v>
      </c>
      <c r="D18" s="191" cm="1">
        <f t="array" ref="D18">[1]!År1</f>
        <v>2019</v>
      </c>
      <c r="E18" s="192"/>
    </row>
    <row r="19" spans="1:5" x14ac:dyDescent="0.55000000000000004">
      <c r="A19" s="184" t="s">
        <v>254</v>
      </c>
      <c r="B19" s="409"/>
      <c r="D19" s="191" cm="1">
        <f t="array" ref="D19">[1]!År2</f>
        <v>2030</v>
      </c>
      <c r="E19" s="192"/>
    </row>
    <row r="20" spans="1:5" ht="14.7" thickBot="1" x14ac:dyDescent="0.6">
      <c r="A20" s="184" t="s">
        <v>255</v>
      </c>
      <c r="B20" s="185"/>
      <c r="D20" s="196" cm="1">
        <f t="array" ref="D20">[1]!År3</f>
        <v>2050</v>
      </c>
      <c r="E20" s="197"/>
    </row>
    <row r="21" spans="1:5" ht="14.7" thickTop="1" x14ac:dyDescent="0.55000000000000004">
      <c r="A21" s="184" t="s">
        <v>74</v>
      </c>
      <c r="B21" s="185"/>
    </row>
    <row r="22" spans="1:5" x14ac:dyDescent="0.55000000000000004">
      <c r="A22" s="184"/>
      <c r="B22" s="185"/>
    </row>
    <row r="23" spans="1:5" x14ac:dyDescent="0.55000000000000004">
      <c r="A23" s="234" t="s">
        <v>303</v>
      </c>
      <c r="B23" s="185"/>
    </row>
    <row r="24" spans="1:5" ht="14.7" thickBot="1" x14ac:dyDescent="0.6">
      <c r="A24" s="186" t="s">
        <v>1</v>
      </c>
      <c r="B24" s="187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18" zoomScale="55" zoomScaleNormal="55" workbookViewId="0">
      <selection activeCell="B12" sqref="B12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8" style="1" bestFit="1" customWidth="1"/>
    <col min="18" max="18" width="27.26171875" style="1" bestFit="1" customWidth="1"/>
    <col min="19" max="19" width="9.15625" style="1"/>
    <col min="20" max="20" width="16.578125" style="1" bestFit="1" customWidth="1"/>
    <col min="21" max="16384" width="9.15625" style="1"/>
  </cols>
  <sheetData>
    <row r="1" spans="1:18" ht="15" customHeight="1" x14ac:dyDescent="0.6">
      <c r="A1" s="231" t="s">
        <v>296</v>
      </c>
      <c r="B1" s="230"/>
      <c r="C1" s="410" t="s">
        <v>295</v>
      </c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</row>
    <row r="2" spans="1:18" ht="15" customHeight="1" x14ac:dyDescent="0.55000000000000004">
      <c r="A2" s="230"/>
      <c r="B2" s="23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10"/>
    </row>
    <row r="3" spans="1:18" x14ac:dyDescent="0.55000000000000004">
      <c r="A3" s="73"/>
    </row>
    <row r="34" spans="16:20" ht="15.6" x14ac:dyDescent="0.6">
      <c r="P34" s="318" t="s">
        <v>93</v>
      </c>
      <c r="Q34" s="318" t="s">
        <v>333</v>
      </c>
      <c r="R34" s="318" t="s">
        <v>334</v>
      </c>
    </row>
    <row r="35" spans="16:20" ht="15.6" x14ac:dyDescent="0.6">
      <c r="P35" s="318">
        <v>1990</v>
      </c>
      <c r="Q35" s="389">
        <v>20000000</v>
      </c>
      <c r="R35" s="319"/>
    </row>
    <row r="36" spans="16:20" ht="15.6" x14ac:dyDescent="0.6">
      <c r="P36" s="318">
        <f>År1</f>
        <v>2019</v>
      </c>
      <c r="Q36" s="390">
        <f>GETPIVOTDATA("Total",'CO2-pivot'!$A$1,"År",P36,"Sted2","CO2 - atmosfære")</f>
        <v>13910380.018766819</v>
      </c>
      <c r="R36" s="319">
        <f>1-Q36/$Q$35</f>
        <v>0.30448099906165904</v>
      </c>
    </row>
    <row r="37" spans="16:20" ht="15.6" x14ac:dyDescent="0.6">
      <c r="P37" s="318">
        <f>År2</f>
        <v>2030</v>
      </c>
      <c r="Q37" s="390">
        <f>GETPIVOTDATA("Total",'CO2-pivot'!$A$1,"År",P37,"Sted2","CO2 - atmosfære")</f>
        <v>9752909.8767487388</v>
      </c>
      <c r="R37" s="319">
        <f t="shared" ref="R37:R38" si="0">1-Q37/$Q$35</f>
        <v>0.51235450616256306</v>
      </c>
      <c r="T37" s="387"/>
    </row>
    <row r="38" spans="16:20" ht="15.6" x14ac:dyDescent="0.6">
      <c r="P38" s="318">
        <f>År3</f>
        <v>2050</v>
      </c>
      <c r="Q38" s="390">
        <f>GETPIVOTDATA("Total",'CO2-pivot'!$A$1,"År",P38,"Sted2","CO2 - atmosfære")</f>
        <v>633807.98066069442</v>
      </c>
      <c r="R38" s="319">
        <f t="shared" si="0"/>
        <v>0.96830960096696528</v>
      </c>
    </row>
    <row r="123" spans="3:3" x14ac:dyDescent="0.55000000000000004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x14ac:dyDescent="0.55000000000000004">
      <c r="A1" t="s">
        <v>335</v>
      </c>
    </row>
    <row r="2" spans="1:1" x14ac:dyDescent="0.55000000000000004">
      <c r="A2" s="101">
        <v>2019</v>
      </c>
    </row>
    <row r="3" spans="1:1" x14ac:dyDescent="0.55000000000000004">
      <c r="A3" s="348">
        <v>2030</v>
      </c>
    </row>
    <row r="4" spans="1:1" x14ac:dyDescent="0.55000000000000004">
      <c r="A4" s="341">
        <v>2050</v>
      </c>
    </row>
    <row r="5" spans="1:1" x14ac:dyDescent="0.55000000000000004">
      <c r="A5" s="331" t="s">
        <v>15</v>
      </c>
    </row>
    <row r="6" spans="1:1" x14ac:dyDescent="0.55000000000000004">
      <c r="A6" s="349" t="s">
        <v>49</v>
      </c>
    </row>
    <row r="7" spans="1:1" x14ac:dyDescent="0.55000000000000004">
      <c r="A7" s="347" t="s">
        <v>182</v>
      </c>
    </row>
    <row r="8" spans="1:1" x14ac:dyDescent="0.55000000000000004">
      <c r="A8" s="342" t="s">
        <v>32</v>
      </c>
    </row>
    <row r="9" spans="1:1" x14ac:dyDescent="0.55000000000000004">
      <c r="A9" s="329" t="s">
        <v>102</v>
      </c>
    </row>
    <row r="10" spans="1:1" x14ac:dyDescent="0.55000000000000004">
      <c r="A10" s="350" t="s">
        <v>109</v>
      </c>
    </row>
    <row r="11" spans="1:1" x14ac:dyDescent="0.55000000000000004">
      <c r="A11" s="343" t="s">
        <v>261</v>
      </c>
    </row>
    <row r="12" spans="1:1" x14ac:dyDescent="0.55000000000000004">
      <c r="A12" s="351" t="s">
        <v>110</v>
      </c>
    </row>
    <row r="13" spans="1:1" x14ac:dyDescent="0.55000000000000004">
      <c r="A13" s="329" t="s">
        <v>230</v>
      </c>
    </row>
    <row r="14" spans="1:1" x14ac:dyDescent="0.55000000000000004">
      <c r="A14" s="352" t="s">
        <v>208</v>
      </c>
    </row>
    <row r="15" spans="1:1" x14ac:dyDescent="0.55000000000000004">
      <c r="A15" s="334" t="s">
        <v>111</v>
      </c>
    </row>
    <row r="16" spans="1:1" x14ac:dyDescent="0.55000000000000004">
      <c r="A16" s="353" t="s">
        <v>101</v>
      </c>
    </row>
    <row r="17" spans="1:1" x14ac:dyDescent="0.55000000000000004">
      <c r="A17" s="354" t="s">
        <v>204</v>
      </c>
    </row>
    <row r="18" spans="1:1" x14ac:dyDescent="0.55000000000000004">
      <c r="A18" s="355" t="s">
        <v>19</v>
      </c>
    </row>
    <row r="19" spans="1:1" x14ac:dyDescent="0.55000000000000004">
      <c r="A19" s="97" t="s">
        <v>137</v>
      </c>
    </row>
    <row r="20" spans="1:1" x14ac:dyDescent="0.55000000000000004">
      <c r="A20" s="371" t="s">
        <v>96</v>
      </c>
    </row>
    <row r="21" spans="1:1" x14ac:dyDescent="0.55000000000000004">
      <c r="A21" s="385" t="s">
        <v>113</v>
      </c>
    </row>
    <row r="22" spans="1:1" x14ac:dyDescent="0.55000000000000004">
      <c r="A22" s="386" t="s">
        <v>54</v>
      </c>
    </row>
    <row r="23" spans="1:1" x14ac:dyDescent="0.55000000000000004">
      <c r="A23" s="328" t="s">
        <v>158</v>
      </c>
    </row>
    <row r="24" spans="1:1" x14ac:dyDescent="0.55000000000000004">
      <c r="A24" s="344" t="s">
        <v>51</v>
      </c>
    </row>
    <row r="25" spans="1:1" x14ac:dyDescent="0.55000000000000004">
      <c r="A25" s="344" t="s">
        <v>224</v>
      </c>
    </row>
    <row r="26" spans="1:1" x14ac:dyDescent="0.55000000000000004">
      <c r="A26" s="332" t="s">
        <v>203</v>
      </c>
    </row>
    <row r="27" spans="1:1" x14ac:dyDescent="0.55000000000000004">
      <c r="A27" s="383" t="s">
        <v>6</v>
      </c>
    </row>
    <row r="28" spans="1:1" x14ac:dyDescent="0.55000000000000004">
      <c r="A28" s="327" t="s">
        <v>67</v>
      </c>
    </row>
    <row r="29" spans="1:1" x14ac:dyDescent="0.55000000000000004">
      <c r="A29" s="327" t="s">
        <v>227</v>
      </c>
    </row>
    <row r="30" spans="1:1" x14ac:dyDescent="0.55000000000000004">
      <c r="A30" s="333" t="s">
        <v>200</v>
      </c>
    </row>
    <row r="31" spans="1:1" x14ac:dyDescent="0.55000000000000004">
      <c r="A31" s="326" t="s">
        <v>226</v>
      </c>
    </row>
    <row r="32" spans="1:1" x14ac:dyDescent="0.55000000000000004">
      <c r="A32" s="384" t="s">
        <v>162</v>
      </c>
    </row>
    <row r="33" spans="1:1" x14ac:dyDescent="0.55000000000000004">
      <c r="A33" s="335" t="s">
        <v>193</v>
      </c>
    </row>
    <row r="34" spans="1:1" x14ac:dyDescent="0.55000000000000004">
      <c r="A34" s="330" t="s">
        <v>222</v>
      </c>
    </row>
    <row r="35" spans="1:1" x14ac:dyDescent="0.55000000000000004">
      <c r="A35" s="339" t="s">
        <v>11</v>
      </c>
    </row>
    <row r="36" spans="1:1" x14ac:dyDescent="0.55000000000000004">
      <c r="A36" s="370" t="s">
        <v>159</v>
      </c>
    </row>
    <row r="37" spans="1:1" x14ac:dyDescent="0.55000000000000004">
      <c r="A37" s="324" t="s">
        <v>103</v>
      </c>
    </row>
    <row r="38" spans="1:1" x14ac:dyDescent="0.55000000000000004">
      <c r="A38" s="379" t="s">
        <v>56</v>
      </c>
    </row>
    <row r="39" spans="1:1" x14ac:dyDescent="0.55000000000000004">
      <c r="A39" s="380" t="s">
        <v>12</v>
      </c>
    </row>
    <row r="40" spans="1:1" x14ac:dyDescent="0.55000000000000004">
      <c r="A40" s="381" t="s">
        <v>48</v>
      </c>
    </row>
    <row r="41" spans="1:1" x14ac:dyDescent="0.55000000000000004">
      <c r="A41" s="358" t="s">
        <v>115</v>
      </c>
    </row>
    <row r="42" spans="1:1" x14ac:dyDescent="0.55000000000000004">
      <c r="A42" s="356" t="s">
        <v>136</v>
      </c>
    </row>
    <row r="43" spans="1:1" x14ac:dyDescent="0.55000000000000004">
      <c r="A43" s="341" t="s">
        <v>9</v>
      </c>
    </row>
    <row r="44" spans="1:1" x14ac:dyDescent="0.55000000000000004">
      <c r="A44" s="382" t="s">
        <v>108</v>
      </c>
    </row>
    <row r="45" spans="1:1" x14ac:dyDescent="0.55000000000000004">
      <c r="A45" s="378" t="s">
        <v>53</v>
      </c>
    </row>
    <row r="46" spans="1:1" x14ac:dyDescent="0.55000000000000004">
      <c r="A46" s="341" t="s">
        <v>194</v>
      </c>
    </row>
    <row r="47" spans="1:1" x14ac:dyDescent="0.55000000000000004">
      <c r="A47" s="377" t="s">
        <v>116</v>
      </c>
    </row>
    <row r="48" spans="1:1" x14ac:dyDescent="0.55000000000000004">
      <c r="A48" s="376" t="s">
        <v>106</v>
      </c>
    </row>
    <row r="49" spans="1:1" x14ac:dyDescent="0.55000000000000004">
      <c r="A49" s="340" t="s">
        <v>33</v>
      </c>
    </row>
    <row r="50" spans="1:1" x14ac:dyDescent="0.55000000000000004">
      <c r="A50" s="372" t="s">
        <v>14</v>
      </c>
    </row>
    <row r="51" spans="1:1" x14ac:dyDescent="0.55000000000000004">
      <c r="A51" s="373" t="s">
        <v>55</v>
      </c>
    </row>
    <row r="52" spans="1:1" x14ac:dyDescent="0.55000000000000004">
      <c r="A52" s="374" t="s">
        <v>38</v>
      </c>
    </row>
    <row r="53" spans="1:1" x14ac:dyDescent="0.55000000000000004">
      <c r="A53" s="375" t="s">
        <v>95</v>
      </c>
    </row>
    <row r="54" spans="1:1" x14ac:dyDescent="0.55000000000000004">
      <c r="A54" s="323" t="s">
        <v>306</v>
      </c>
    </row>
    <row r="55" spans="1:1" x14ac:dyDescent="0.55000000000000004">
      <c r="A55" s="358" t="s">
        <v>307</v>
      </c>
    </row>
    <row r="56" spans="1:1" x14ac:dyDescent="0.55000000000000004">
      <c r="A56" s="338" t="s">
        <v>310</v>
      </c>
    </row>
    <row r="57" spans="1:1" x14ac:dyDescent="0.55000000000000004">
      <c r="A57" s="323" t="s">
        <v>312</v>
      </c>
    </row>
    <row r="58" spans="1:1" x14ac:dyDescent="0.55000000000000004">
      <c r="A58" s="359" t="s">
        <v>117</v>
      </c>
    </row>
    <row r="59" spans="1:1" x14ac:dyDescent="0.55000000000000004">
      <c r="A59" s="361" t="s">
        <v>50</v>
      </c>
    </row>
    <row r="60" spans="1:1" x14ac:dyDescent="0.55000000000000004">
      <c r="A60" s="362" t="s">
        <v>238</v>
      </c>
    </row>
    <row r="61" spans="1:1" x14ac:dyDescent="0.55000000000000004">
      <c r="A61" s="363" t="s">
        <v>231</v>
      </c>
    </row>
    <row r="62" spans="1:1" x14ac:dyDescent="0.55000000000000004">
      <c r="A62" s="364" t="s">
        <v>52</v>
      </c>
    </row>
    <row r="63" spans="1:1" x14ac:dyDescent="0.55000000000000004">
      <c r="A63" s="336" t="s">
        <v>10</v>
      </c>
    </row>
    <row r="64" spans="1:1" x14ac:dyDescent="0.55000000000000004">
      <c r="A64" s="100" t="s">
        <v>176</v>
      </c>
    </row>
    <row r="65" spans="1:8" x14ac:dyDescent="0.55000000000000004">
      <c r="A65" s="346" t="s">
        <v>177</v>
      </c>
    </row>
    <row r="66" spans="1:8" x14ac:dyDescent="0.55000000000000004">
      <c r="A66" s="341" t="s">
        <v>178</v>
      </c>
    </row>
    <row r="67" spans="1:8" x14ac:dyDescent="0.55000000000000004">
      <c r="A67" s="336" t="s">
        <v>179</v>
      </c>
    </row>
    <row r="68" spans="1:8" x14ac:dyDescent="0.55000000000000004">
      <c r="A68" s="340" t="s">
        <v>180</v>
      </c>
    </row>
    <row r="69" spans="1:8" x14ac:dyDescent="0.55000000000000004">
      <c r="A69" s="365" t="s">
        <v>121</v>
      </c>
    </row>
    <row r="70" spans="1:8" x14ac:dyDescent="0.55000000000000004">
      <c r="A70" s="366" t="s">
        <v>107</v>
      </c>
    </row>
    <row r="71" spans="1:8" x14ac:dyDescent="0.55000000000000004">
      <c r="A71" s="367" t="s">
        <v>140</v>
      </c>
    </row>
    <row r="72" spans="1:8" x14ac:dyDescent="0.55000000000000004">
      <c r="A72" s="357" t="s">
        <v>135</v>
      </c>
    </row>
    <row r="73" spans="1:8" x14ac:dyDescent="0.55000000000000004">
      <c r="A73" s="368" t="s">
        <v>13</v>
      </c>
    </row>
    <row r="74" spans="1:8" x14ac:dyDescent="0.55000000000000004">
      <c r="A74" s="360" t="s">
        <v>99</v>
      </c>
      <c r="H74" s="345" t="s">
        <v>104</v>
      </c>
    </row>
    <row r="75" spans="1:8" x14ac:dyDescent="0.55000000000000004">
      <c r="A75" s="369" t="s">
        <v>119</v>
      </c>
    </row>
    <row r="76" spans="1:8" x14ac:dyDescent="0.55000000000000004">
      <c r="A76" s="325" t="s">
        <v>118</v>
      </c>
    </row>
    <row r="77" spans="1:8" x14ac:dyDescent="0.55000000000000004">
      <c r="A77" s="337" t="s">
        <v>332</v>
      </c>
    </row>
    <row r="78" spans="1:8" x14ac:dyDescent="0.55000000000000004">
      <c r="A78" s="325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5" sqref="C5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11.41796875" style="1" customWidth="1"/>
    <col min="4" max="4" width="11" style="1" bestFit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9" width="9.15625" style="1"/>
    <col min="20" max="20" width="15" style="1" bestFit="1" customWidth="1"/>
    <col min="21" max="16384" width="9.15625" style="1"/>
  </cols>
  <sheetData>
    <row r="1" spans="1:22" x14ac:dyDescent="0.55000000000000004">
      <c r="A1" s="207" t="s">
        <v>271</v>
      </c>
      <c r="B1" s="73" t="s">
        <v>297</v>
      </c>
    </row>
    <row r="2" spans="1:22" ht="43" customHeight="1" x14ac:dyDescent="0.55000000000000004">
      <c r="A2" s="202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55000000000000004">
      <c r="A3" s="2" t="s">
        <v>264</v>
      </c>
      <c r="B3" s="2"/>
      <c r="C3" s="9">
        <f>D3/($D$2-2023)*($C$2-2023)</f>
        <v>20282.370370370369</v>
      </c>
      <c r="D3" s="21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55000000000000004">
      <c r="A4" s="2" t="s">
        <v>265</v>
      </c>
      <c r="B4" s="2"/>
      <c r="C4" s="9">
        <f t="shared" ref="C4:C5" si="0">D4/($D$2-2023)*($C$2-2023)</f>
        <v>23791.703703703704</v>
      </c>
      <c r="D4" s="21">
        <f>170000-D3</f>
        <v>91768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55000000000000004">
      <c r="A5" s="2" t="s">
        <v>36</v>
      </c>
      <c r="B5" s="198"/>
      <c r="C5" s="9">
        <v>125000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55000000000000004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2274936</v>
      </c>
      <c r="N6" s="17">
        <f t="shared" si="3"/>
        <v>76710.296296296292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8733.9999999999964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0.56124564459178861</v>
      </c>
      <c r="V6" s="14">
        <f t="shared" si="2"/>
        <v>0.50279971117788169</v>
      </c>
    </row>
    <row r="7" spans="1:22" x14ac:dyDescent="0.55000000000000004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687410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0.16011226795239095</v>
      </c>
      <c r="V7" s="14">
        <f t="shared" si="2"/>
        <v>0.18922740083385742</v>
      </c>
    </row>
    <row r="8" spans="1:22" x14ac:dyDescent="0.55000000000000004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85289.703703703708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153266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0.1280283404546792</v>
      </c>
      <c r="V8" s="14">
        <f t="shared" si="2"/>
        <v>0.15735914098711948</v>
      </c>
    </row>
    <row r="9" spans="1:22" ht="14.7" thickBot="1" x14ac:dyDescent="0.6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55000000000000004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55000000000000004">
      <c r="A11" s="2"/>
      <c r="B11" s="2"/>
      <c r="C11" s="9"/>
      <c r="D11" s="9"/>
      <c r="E11" s="9"/>
      <c r="F11" s="104"/>
      <c r="G11" s="104"/>
    </row>
    <row r="12" spans="1:22" x14ac:dyDescent="0.55000000000000004">
      <c r="A12" s="2"/>
      <c r="B12" s="2"/>
      <c r="C12" s="9"/>
      <c r="D12" s="9"/>
      <c r="E12" s="9"/>
      <c r="F12" s="104"/>
      <c r="G12" s="104"/>
    </row>
    <row r="13" spans="1:22" x14ac:dyDescent="0.55000000000000004">
      <c r="A13" s="2"/>
      <c r="B13" s="2"/>
      <c r="C13" s="9"/>
      <c r="D13" s="9"/>
      <c r="E13" s="9"/>
      <c r="F13" s="104"/>
      <c r="G13" s="104"/>
    </row>
    <row r="14" spans="1:22" x14ac:dyDescent="0.55000000000000004">
      <c r="A14" s="2"/>
      <c r="B14" s="2"/>
      <c r="C14" s="9"/>
      <c r="D14" s="9"/>
      <c r="E14" s="9"/>
      <c r="F14" s="104"/>
      <c r="G14" s="104"/>
      <c r="T14" s="391">
        <f>4293300*0.25</f>
        <v>1073325</v>
      </c>
    </row>
    <row r="15" spans="1:22" x14ac:dyDescent="0.55000000000000004">
      <c r="A15" s="2"/>
      <c r="B15" s="2"/>
      <c r="C15" s="9"/>
      <c r="D15" s="9"/>
      <c r="E15" s="9"/>
      <c r="F15" s="104"/>
      <c r="G15" s="104"/>
    </row>
    <row r="16" spans="1:22" x14ac:dyDescent="0.55000000000000004">
      <c r="A16" s="2"/>
      <c r="B16" s="2"/>
      <c r="C16" s="9"/>
      <c r="D16" s="9"/>
      <c r="E16" s="9"/>
      <c r="F16" s="104"/>
      <c r="G16" s="104"/>
    </row>
    <row r="17" spans="1:18" x14ac:dyDescent="0.55000000000000004">
      <c r="A17" s="2"/>
      <c r="B17" s="2"/>
      <c r="C17" s="9"/>
      <c r="D17" s="9"/>
      <c r="E17" s="9"/>
      <c r="F17" s="104"/>
      <c r="G17" s="104"/>
    </row>
    <row r="18" spans="1:18" x14ac:dyDescent="0.55000000000000004">
      <c r="D18" s="14"/>
      <c r="E18" s="14"/>
      <c r="F18" s="14"/>
      <c r="G18" s="14"/>
    </row>
    <row r="19" spans="1:18" x14ac:dyDescent="0.55000000000000004">
      <c r="D19" s="14"/>
      <c r="E19" s="14"/>
      <c r="F19" s="14"/>
      <c r="G19" s="14"/>
    </row>
    <row r="20" spans="1:18" x14ac:dyDescent="0.55000000000000004">
      <c r="D20" s="14"/>
      <c r="E20" s="14"/>
      <c r="F20" s="14"/>
      <c r="G20" s="14"/>
    </row>
    <row r="21" spans="1:18" hidden="1" x14ac:dyDescent="0.55000000000000004">
      <c r="D21" s="14"/>
      <c r="E21" s="14"/>
      <c r="F21" s="14"/>
      <c r="G21" s="14"/>
    </row>
    <row r="22" spans="1:18" hidden="1" x14ac:dyDescent="0.55000000000000004">
      <c r="D22" s="14"/>
      <c r="E22" s="14"/>
      <c r="F22" s="14"/>
      <c r="G22" s="14"/>
      <c r="I22" s="235"/>
      <c r="J22" s="236" t="s">
        <v>298</v>
      </c>
      <c r="K22" s="236"/>
      <c r="L22" s="236"/>
      <c r="M22" s="236"/>
      <c r="N22" s="236"/>
      <c r="O22" s="236"/>
      <c r="P22" s="236"/>
      <c r="Q22" s="235"/>
      <c r="R22" s="235"/>
    </row>
    <row r="23" spans="1:18" hidden="1" x14ac:dyDescent="0.55000000000000004">
      <c r="D23" s="14"/>
      <c r="E23" s="14"/>
      <c r="F23" s="14"/>
      <c r="G23" s="14"/>
      <c r="I23" s="237" t="s">
        <v>175</v>
      </c>
      <c r="J23" s="238">
        <f>År1</f>
        <v>2019</v>
      </c>
      <c r="K23" s="238">
        <f>År1</f>
        <v>2019</v>
      </c>
      <c r="L23" s="238">
        <f>År1</f>
        <v>2019</v>
      </c>
      <c r="M23" s="238">
        <f>År2</f>
        <v>2030</v>
      </c>
      <c r="N23" s="238">
        <f>År2</f>
        <v>2030</v>
      </c>
      <c r="O23" s="238">
        <f>År2</f>
        <v>2030</v>
      </c>
      <c r="P23" s="238">
        <f>År3</f>
        <v>2050</v>
      </c>
      <c r="Q23" s="238">
        <f>År3</f>
        <v>2050</v>
      </c>
      <c r="R23" s="238">
        <f>År3</f>
        <v>2050</v>
      </c>
    </row>
    <row r="24" spans="1:18" hidden="1" x14ac:dyDescent="0.55000000000000004">
      <c r="D24" s="14"/>
      <c r="E24" s="14"/>
      <c r="F24" s="14"/>
      <c r="G24" s="14"/>
      <c r="I24" s="237"/>
      <c r="J24" s="238" t="str">
        <f>Jordbund1</f>
        <v>JB1-10</v>
      </c>
      <c r="K24" s="238" t="str">
        <f>Organ6</f>
        <v>OC6</v>
      </c>
      <c r="L24" s="238" t="str">
        <f>Organ12</f>
        <v>OC12</v>
      </c>
      <c r="M24" s="238" t="str">
        <f>Jordbund1</f>
        <v>JB1-10</v>
      </c>
      <c r="N24" s="238" t="str">
        <f>Organ6</f>
        <v>OC6</v>
      </c>
      <c r="O24" s="238" t="str">
        <f>Organ12</f>
        <v>OC12</v>
      </c>
      <c r="P24" s="238" t="str">
        <f>Jordbund1</f>
        <v>JB1-10</v>
      </c>
      <c r="Q24" s="238" t="str">
        <f>Organ6</f>
        <v>OC6</v>
      </c>
      <c r="R24" s="238" t="str">
        <f>Organ12</f>
        <v>OC12</v>
      </c>
    </row>
    <row r="25" spans="1:18" hidden="1" x14ac:dyDescent="0.55000000000000004">
      <c r="D25" s="14"/>
      <c r="E25" s="14"/>
      <c r="F25" s="14"/>
      <c r="G25" s="14"/>
      <c r="I25" s="239" t="str">
        <f>Bebyg</f>
        <v>Bebyggelse &amp; infrastruktur</v>
      </c>
      <c r="J25" s="245">
        <f>SUMIF([1]Arealanvendelse!$B$15:$B$22,I25,[1]Arealanvendelse!$D$15:$D$22)-SUM(K25:L25)</f>
        <v>413346.96815611009</v>
      </c>
      <c r="K25" s="245"/>
      <c r="L25" s="245"/>
      <c r="M25" s="248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8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8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8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8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8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4"/>
      <c r="E26" s="14"/>
      <c r="F26" s="14"/>
      <c r="G26" s="14"/>
      <c r="I26" s="239" t="str">
        <f>Afgrøder</f>
        <v>Landbrugsafgrøder</v>
      </c>
      <c r="J26" s="245">
        <f>SUMIF([1]Arealanvendelse!$B$15:$B$22,I26,[1]Arealanvendelse!$D$15:$D$22)-SUM(K26:L26)</f>
        <v>1853876.1391137983</v>
      </c>
      <c r="K26" s="245">
        <f>[1]Jordbundstypefordeling!$D$16*[1]Jordbundstypefordeling!$F$4</f>
        <v>87250.625185185185</v>
      </c>
      <c r="L26" s="245">
        <f>[1]Jordbundstypefordeling!$D$15*[1]Jordbundstypefordeling!$F$4</f>
        <v>67916.965925925921</v>
      </c>
      <c r="M26" s="248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1745357.6205952798</v>
      </c>
      <c r="N26" s="248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66595.901673525368</v>
      </c>
      <c r="O26" s="248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8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8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7582.4059259259229</v>
      </c>
      <c r="R26" s="248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55000000000000004">
      <c r="D27" s="14"/>
      <c r="E27" s="14"/>
      <c r="F27" s="14"/>
      <c r="G27" s="14"/>
      <c r="I27" s="239" t="str">
        <f>SkovAreal</f>
        <v>Skov</v>
      </c>
      <c r="J27" s="245">
        <f>SUMIF([1]Arealanvendelse!$B$15:$B$22,I27,[1]Arealanvendelse!$D$15:$D$22)-SUM(K27:L27)</f>
        <v>435064.52162306459</v>
      </c>
      <c r="K27" s="245"/>
      <c r="L27" s="245"/>
      <c r="M27" s="248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8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8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8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8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8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4"/>
      <c r="E28" s="14"/>
      <c r="F28" s="14"/>
      <c r="G28" s="14"/>
      <c r="I28" s="239" t="str">
        <f>NaturAreal</f>
        <v>Natur</v>
      </c>
      <c r="J28" s="245">
        <f>SUMIF([1]Arealanvendelse!$B$15:$B$22,I28,[1]Arealanvendelse!$D$15:$D$22)-SUM(K28:L28)</f>
        <v>317835.5825103767</v>
      </c>
      <c r="K28" s="245">
        <f>([1]Jordbundstypefordeling!$E$16-[1]Jordbundstypefordeling!$D$16)*SUM([1]Jordbundstypefordeling!$D$3:$D$5)</f>
        <v>53389.374814814815</v>
      </c>
      <c r="L28" s="245">
        <f>([1]Jordbundstypefordeling!$E$15-[1]Jordbundstypefordeling!$D$15)*SUM([1]Jordbundstypefordeling!D3:D5)</f>
        <v>44074.145185185182</v>
      </c>
      <c r="M28" s="248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8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74044.098326474632</v>
      </c>
      <c r="O28" s="248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8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8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133057.59407407406</v>
      </c>
      <c r="R28" s="248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4.7" hidden="1" thickBot="1" x14ac:dyDescent="0.6">
      <c r="D29" s="14"/>
      <c r="E29" s="14"/>
      <c r="F29" s="14"/>
      <c r="G29" s="14"/>
      <c r="I29" s="240" t="str">
        <f>IKareal</f>
        <v>Ikke klassificeret</v>
      </c>
      <c r="J29" s="246">
        <f>SUMIF([1]Arealanvendelse!$B$15:$B$22,I29,[1]Arealanvendelse!$D$15:$D$22)-SUM(K29:L29)</f>
        <v>47192.371697540235</v>
      </c>
      <c r="K29" s="246"/>
      <c r="L29" s="246"/>
      <c r="M29" s="249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9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9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9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9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9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41" t="s">
        <v>30</v>
      </c>
      <c r="J30" s="247">
        <f t="shared" ref="J30:R30" si="9">SUM(J25:J29)</f>
        <v>3067315.5831008903</v>
      </c>
      <c r="K30" s="247">
        <f t="shared" si="9"/>
        <v>140640</v>
      </c>
      <c r="L30" s="247">
        <f t="shared" si="9"/>
        <v>111991.11111111109</v>
      </c>
      <c r="M30" s="250">
        <f t="shared" si="9"/>
        <v>3067315.5831008903</v>
      </c>
      <c r="N30" s="250">
        <f t="shared" si="9"/>
        <v>140640</v>
      </c>
      <c r="O30" s="250">
        <f t="shared" si="9"/>
        <v>111991.11111111109</v>
      </c>
      <c r="P30" s="250">
        <f t="shared" si="9"/>
        <v>3067315.5831008903</v>
      </c>
      <c r="Q30" s="250">
        <f t="shared" si="9"/>
        <v>140640</v>
      </c>
      <c r="R30" s="250">
        <f t="shared" si="9"/>
        <v>111991.11111111109</v>
      </c>
    </row>
    <row r="31" spans="1:18" hidden="1" x14ac:dyDescent="0.55000000000000004">
      <c r="I31" s="242"/>
      <c r="J31" s="243"/>
      <c r="K31" s="243"/>
      <c r="L31" s="243"/>
      <c r="M31" s="244"/>
      <c r="N31" s="243"/>
      <c r="O31" s="243"/>
      <c r="P31" s="243"/>
      <c r="Q31" s="243"/>
      <c r="R31" s="243"/>
    </row>
    <row r="32" spans="1:18" hidden="1" x14ac:dyDescent="0.55000000000000004">
      <c r="I32" s="242"/>
      <c r="J32" s="236" t="s">
        <v>299</v>
      </c>
      <c r="K32" s="236"/>
      <c r="L32" s="236"/>
      <c r="M32" s="236"/>
      <c r="N32" s="236"/>
      <c r="O32" s="236"/>
      <c r="P32" s="236"/>
      <c r="Q32" s="236"/>
      <c r="R32" s="236"/>
    </row>
    <row r="33" spans="9:18" hidden="1" x14ac:dyDescent="0.55000000000000004">
      <c r="I33" s="237" t="s">
        <v>175</v>
      </c>
      <c r="J33" s="238">
        <f>År1</f>
        <v>2019</v>
      </c>
      <c r="K33" s="238">
        <f>År1</f>
        <v>2019</v>
      </c>
      <c r="L33" s="238">
        <f>År1</f>
        <v>2019</v>
      </c>
      <c r="M33" s="238">
        <v>2030</v>
      </c>
      <c r="N33" s="238">
        <v>2030</v>
      </c>
      <c r="O33" s="238">
        <v>2030</v>
      </c>
      <c r="P33" s="238">
        <f>År3</f>
        <v>2050</v>
      </c>
      <c r="Q33" s="238">
        <f>År3</f>
        <v>2050</v>
      </c>
      <c r="R33" s="238">
        <f>År3</f>
        <v>2050</v>
      </c>
    </row>
    <row r="34" spans="9:18" hidden="1" x14ac:dyDescent="0.55000000000000004">
      <c r="I34" s="237"/>
      <c r="J34" s="238" t="str">
        <f>Jordbund1</f>
        <v>JB1-10</v>
      </c>
      <c r="K34" s="238" t="str">
        <f>Organ6</f>
        <v>OC6</v>
      </c>
      <c r="L34" s="238" t="str">
        <f>Organ12</f>
        <v>OC12</v>
      </c>
      <c r="M34" s="238" t="str">
        <f>Jordbund1</f>
        <v>JB1-10</v>
      </c>
      <c r="N34" s="238" t="str">
        <f>Organ6</f>
        <v>OC6</v>
      </c>
      <c r="O34" s="238" t="str">
        <f>Organ12</f>
        <v>OC12</v>
      </c>
      <c r="P34" s="238" t="str">
        <f>Jordbund1</f>
        <v>JB1-10</v>
      </c>
      <c r="Q34" s="238" t="str">
        <f>Organ6</f>
        <v>OC6</v>
      </c>
      <c r="R34" s="238" t="str">
        <f>Organ12</f>
        <v>OC12</v>
      </c>
    </row>
    <row r="35" spans="9:18" hidden="1" x14ac:dyDescent="0.55000000000000004">
      <c r="I35" s="239" t="str">
        <f>Bebyg</f>
        <v>Bebyggelse &amp; infrastruktur</v>
      </c>
      <c r="J35" s="245">
        <f>SUMIF([1]Arealanvendelse!$B$15:$B$22,I35,[1]Arealanvendelse!$E$15:$E$22)-SUM(K35:L35)</f>
        <v>178773.03184388991</v>
      </c>
      <c r="K35" s="245"/>
      <c r="L35" s="245"/>
      <c r="M35" s="248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8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8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8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8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8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39" t="str">
        <f>Afgrøder</f>
        <v>Landbrugsafgrøder</v>
      </c>
      <c r="J36" s="245">
        <f>SUMIF([1]Arealanvendelse!$B$15:$B$22,I36,[1]Arealanvendelse!$E$15:$E$22)-SUM(K36:L36)</f>
        <v>546059.8608862015</v>
      </c>
      <c r="K36" s="245">
        <f>[1]Jordbundstypefordeling!$D$16*[1]Jordbundstypefordeling!$G$4</f>
        <v>13251.374814814815</v>
      </c>
      <c r="L36" s="245">
        <f>[1]Jordbundstypefordeling!$D$15*[1]Jordbundstypefordeling!$G$4</f>
        <v>10315.034074074074</v>
      </c>
      <c r="M36" s="248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529578.37940472004</v>
      </c>
      <c r="N36" s="248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10114.39462277092</v>
      </c>
      <c r="O36" s="248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8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8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1151.5940740740734</v>
      </c>
      <c r="R36" s="248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55000000000000004">
      <c r="I37" s="239" t="str">
        <f>SkovAreal</f>
        <v>Skov</v>
      </c>
      <c r="J37" s="245">
        <f>SUMIF([1]Arealanvendelse!$B$15:$B$22,I37,[1]Arealanvendelse!$E$15:$E$22)-SUM(K37:L37)</f>
        <v>127345.4783769354</v>
      </c>
      <c r="K37" s="245"/>
      <c r="L37" s="245"/>
      <c r="M37" s="248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8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8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8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8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8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39" t="str">
        <f>NaturAreal</f>
        <v>Natur</v>
      </c>
      <c r="J38" s="245">
        <f>SUMIF([1]Arealanvendelse!$B$15:$B$22,I38,[1]Arealanvendelse!$E$15:$E$22)-SUM(K38:L38)</f>
        <v>75488.417489623345</v>
      </c>
      <c r="K38" s="245">
        <f>([1]Jordbundstypefordeling!$E$16-[1]Jordbundstypefordeling!$D$16)*[1]Jordbundstypefordeling!$G$4</f>
        <v>8108.6251851851857</v>
      </c>
      <c r="L38" s="245">
        <f>([1]Jordbundstypefordeling!$E$15-[1]Jordbundstypefordeling!$D$15)*[1]Jordbundstypefordeling!$G$4</f>
        <v>6693.8548148148147</v>
      </c>
      <c r="M38" s="248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8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11245.605377229082</v>
      </c>
      <c r="O38" s="248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8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8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20208.405925925927</v>
      </c>
      <c r="R38" s="248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4.7" hidden="1" thickBot="1" x14ac:dyDescent="0.6">
      <c r="I39" s="240" t="str">
        <f>IKareal</f>
        <v>Ikke klassificeret</v>
      </c>
      <c r="J39" s="246">
        <f>SUMIF([1]Arealanvendelse!$B$15:$B$22,I39,[1]Arealanvendelse!$E$15:$E$22)-SUM(K39:L39)</f>
        <v>19447.628302459765</v>
      </c>
      <c r="K39" s="246"/>
      <c r="L39" s="246"/>
      <c r="M39" s="249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9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9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9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9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9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41" t="s">
        <v>30</v>
      </c>
      <c r="J40" s="247">
        <f t="shared" ref="J40:R40" si="10">SUM(J35:J39)</f>
        <v>947114.41689910984</v>
      </c>
      <c r="K40" s="247">
        <f t="shared" si="10"/>
        <v>21360</v>
      </c>
      <c r="L40" s="247">
        <f t="shared" si="10"/>
        <v>17008.888888888891</v>
      </c>
      <c r="M40" s="250">
        <f t="shared" si="10"/>
        <v>947114.41689910972</v>
      </c>
      <c r="N40" s="250">
        <f t="shared" si="10"/>
        <v>21360</v>
      </c>
      <c r="O40" s="250">
        <f t="shared" si="10"/>
        <v>17008.888888888891</v>
      </c>
      <c r="P40" s="250">
        <f t="shared" si="10"/>
        <v>947114.41689910984</v>
      </c>
      <c r="Q40" s="250">
        <f t="shared" si="10"/>
        <v>21360</v>
      </c>
      <c r="R40" s="250">
        <f t="shared" si="10"/>
        <v>17008.888888888891</v>
      </c>
    </row>
    <row r="41" spans="9:18" hidden="1" x14ac:dyDescent="0.55000000000000004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E6:E17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3" zoomScale="90" zoomScaleNormal="90" workbookViewId="0">
      <selection activeCell="E35" sqref="E35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06" t="s">
        <v>271</v>
      </c>
    </row>
    <row r="2" spans="1:9" ht="15.6" x14ac:dyDescent="0.6">
      <c r="A2" s="203" t="s">
        <v>66</v>
      </c>
    </row>
    <row r="3" spans="1:9" x14ac:dyDescent="0.55000000000000004">
      <c r="B3" s="80"/>
      <c r="C3" s="81"/>
      <c r="D3" s="81"/>
      <c r="E3" s="81"/>
      <c r="G3" s="6"/>
    </row>
    <row r="4" spans="1:9" x14ac:dyDescent="0.55000000000000004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55000000000000004">
      <c r="B5" s="2" t="s">
        <v>5</v>
      </c>
      <c r="C5" s="7">
        <f>297696/2625965</f>
        <v>0.11336632437979943</v>
      </c>
      <c r="D5" s="3">
        <f>C5+(E5-C5)/($E$4-$C$4)*($D$4-$C$4)</f>
        <v>0.13523633830954801</v>
      </c>
      <c r="E5" s="8">
        <v>0.17499999999999999</v>
      </c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3">
        <f t="shared" ref="D6:D8" si="0">C6+(E6-C6)/($E$4-$C$4)*($D$4-$C$4)</f>
        <v>0.38059083320838205</v>
      </c>
      <c r="E6" s="8">
        <v>1</v>
      </c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3">
        <f t="shared" si="0"/>
        <v>0.45188681187804958</v>
      </c>
      <c r="E7" s="8">
        <v>1</v>
      </c>
      <c r="I7" s="13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3">
        <f t="shared" si="0"/>
        <v>0.4465294998283928</v>
      </c>
      <c r="E8" s="8">
        <v>1</v>
      </c>
    </row>
    <row r="9" spans="1:9" x14ac:dyDescent="0.55000000000000004">
      <c r="B9" s="79"/>
      <c r="C9" s="12"/>
      <c r="D9" s="12"/>
      <c r="E9" s="78"/>
    </row>
    <row r="10" spans="1:9" x14ac:dyDescent="0.55000000000000004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55000000000000004">
      <c r="B11" s="2" t="s">
        <v>22</v>
      </c>
      <c r="C11" s="7">
        <v>1</v>
      </c>
      <c r="D11" s="3">
        <f t="shared" ref="D11:D13" si="1">C11+(E11-C11)/($E$4-$C$4)*($D$4-$C$4)</f>
        <v>0.66895310313586476</v>
      </c>
      <c r="E11" s="3">
        <f>100000/SUM('Direkte input'!G175:G178)</f>
        <v>6.7049654291982466E-2</v>
      </c>
    </row>
    <row r="12" spans="1:9" x14ac:dyDescent="0.55000000000000004">
      <c r="B12" s="2" t="s">
        <v>3</v>
      </c>
      <c r="C12" s="7">
        <v>1</v>
      </c>
      <c r="D12" s="3">
        <f t="shared" si="1"/>
        <v>0.6806451612903226</v>
      </c>
      <c r="E12" s="3">
        <v>0.1</v>
      </c>
    </row>
    <row r="13" spans="1:9" x14ac:dyDescent="0.55000000000000004">
      <c r="B13" s="2" t="s">
        <v>4</v>
      </c>
      <c r="C13" s="7">
        <v>1</v>
      </c>
      <c r="D13" s="3">
        <f t="shared" si="1"/>
        <v>0.7870967741935484</v>
      </c>
      <c r="E13" s="3">
        <v>0.4</v>
      </c>
      <c r="H13" s="13"/>
    </row>
    <row r="14" spans="1:9" x14ac:dyDescent="0.55000000000000004">
      <c r="C14" s="289"/>
      <c r="D14" s="12"/>
      <c r="E14" s="12"/>
      <c r="H14" s="13"/>
      <c r="I14" s="13"/>
    </row>
    <row r="15" spans="1:9" x14ac:dyDescent="0.55000000000000004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55000000000000004">
      <c r="B16" s="2" t="s">
        <v>90</v>
      </c>
      <c r="C16" s="84">
        <v>1</v>
      </c>
      <c r="D16" s="3">
        <f t="shared" ref="D16:D18" si="2">C16+(E16-C16)/($E$4-$C$4)*($D$4-$C$4)</f>
        <v>1.0532258064516129</v>
      </c>
      <c r="E16" s="3">
        <v>1.1499999999999999</v>
      </c>
    </row>
    <row r="17" spans="2:8" x14ac:dyDescent="0.55000000000000004">
      <c r="B17" s="2" t="s">
        <v>84</v>
      </c>
      <c r="C17" s="84">
        <v>0.59345000000000003</v>
      </c>
      <c r="D17" s="3">
        <f t="shared" si="2"/>
        <v>0.59222580645161293</v>
      </c>
      <c r="E17" s="3">
        <v>0.59</v>
      </c>
    </row>
    <row r="18" spans="2:8" x14ac:dyDescent="0.55000000000000004">
      <c r="B18" s="2" t="s">
        <v>141</v>
      </c>
      <c r="C18" s="84">
        <v>1</v>
      </c>
      <c r="D18" s="3">
        <f t="shared" si="2"/>
        <v>1</v>
      </c>
      <c r="E18" s="3">
        <v>1</v>
      </c>
      <c r="G18" s="163"/>
    </row>
    <row r="20" spans="2:8" x14ac:dyDescent="0.55000000000000004">
      <c r="B20" s="413" t="s">
        <v>323</v>
      </c>
      <c r="C20" s="24"/>
      <c r="D20" s="24"/>
      <c r="E20" s="24"/>
    </row>
    <row r="21" spans="2:8" ht="29.5" customHeight="1" x14ac:dyDescent="0.55000000000000004">
      <c r="B21" s="413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55000000000000004">
      <c r="B24" s="305" t="str">
        <f>CONCATENATE("Omlægning til permanent græs, ", Organ6,", hektar")</f>
        <v>Omlægning til permanent græs, OC6, hektar</v>
      </c>
      <c r="C24" s="306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55000000000000004">
      <c r="B25" s="305" t="str">
        <f>CONCATENATE("Omlægning til permanent græs, ", Organ12, ", hektar")</f>
        <v>Omlægning til permanent græs, OC12, hektar</v>
      </c>
      <c r="C25" s="306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55000000000000004">
      <c r="B26" s="305" t="str">
        <f>CONCATENATE("Antal hektar som 1% svarer til, ", Organ6)</f>
        <v>Antal hektar som 1% svarer til, OC6</v>
      </c>
      <c r="C26" s="306"/>
      <c r="D26" s="10">
        <f>1%*Arealanvendelse!N6</f>
        <v>767.10296296296292</v>
      </c>
      <c r="E26" s="10">
        <f>1%*Arealanvendelse!Q6</f>
        <v>87.339999999999961</v>
      </c>
    </row>
    <row r="27" spans="2:8" ht="14.7" thickBot="1" x14ac:dyDescent="0.6">
      <c r="B27" s="307" t="str">
        <f>CONCATENATE("Antal hektar som 1% svarer til, ", Organ12)</f>
        <v>Antal hektar som 1% svarer til, OC12</v>
      </c>
      <c r="C27" s="308"/>
      <c r="D27" s="109">
        <f>1%*Arealanvendelse!O6</f>
        <v>579.49629629629624</v>
      </c>
      <c r="E27" s="109">
        <f>1%*Arealanvendelse!R6</f>
        <v>0</v>
      </c>
      <c r="F27" s="4"/>
    </row>
    <row r="28" spans="2:8" ht="14.7" thickBot="1" x14ac:dyDescent="0.6">
      <c r="B28" s="211" t="s">
        <v>263</v>
      </c>
      <c r="C28" s="212"/>
      <c r="D28" s="210">
        <f>SUM(D24:D25)</f>
        <v>0</v>
      </c>
      <c r="E28" s="210">
        <f>SUM(E24:E25)</f>
        <v>0</v>
      </c>
      <c r="F28" s="304"/>
      <c r="G28" s="98"/>
      <c r="H28" s="98"/>
    </row>
    <row r="29" spans="2:8" x14ac:dyDescent="0.55000000000000004">
      <c r="C29" s="98"/>
      <c r="D29" s="98"/>
      <c r="E29" s="98"/>
      <c r="F29" s="98"/>
      <c r="G29" s="98"/>
      <c r="H29" s="98"/>
    </row>
    <row r="30" spans="2:8" x14ac:dyDescent="0.55000000000000004">
      <c r="B30" s="411" t="s">
        <v>322</v>
      </c>
      <c r="C30" s="24"/>
      <c r="D30" s="24"/>
      <c r="E30" s="24"/>
    </row>
    <row r="31" spans="2:8" x14ac:dyDescent="0.55000000000000004">
      <c r="B31" s="412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55000000000000004">
      <c r="B32" s="2" t="str">
        <f>[1]Afgrødefordeling!$C2</f>
        <v>Korn</v>
      </c>
      <c r="C32" s="301">
        <f>'[1]Afgrødefordeling - jordtype'!$Y4</f>
        <v>0.53753334285647836</v>
      </c>
      <c r="D32" s="87">
        <v>0.41</v>
      </c>
      <c r="E32" s="87">
        <v>0</v>
      </c>
    </row>
    <row r="33" spans="2:5" x14ac:dyDescent="0.55000000000000004">
      <c r="B33" s="2" t="str">
        <f>[1]Afgrødefordeling!$C3</f>
        <v>Bælgsæd</v>
      </c>
      <c r="C33" s="301">
        <f>'[1]Afgrødefordeling - jordtype'!$Y5</f>
        <v>3.0976273829928767E-2</v>
      </c>
      <c r="D33" s="87">
        <v>0.122</v>
      </c>
      <c r="E33" s="405">
        <v>0.25</v>
      </c>
    </row>
    <row r="34" spans="2:5" x14ac:dyDescent="0.55000000000000004">
      <c r="B34" s="2" t="str">
        <f>[1]Afgrødefordeling!$C4</f>
        <v>Raps</v>
      </c>
      <c r="C34" s="301">
        <f>'[1]Afgrødefordeling - jordtype'!$Y6</f>
        <v>6.5329688585482673E-2</v>
      </c>
      <c r="D34" s="87">
        <v>6.5329688585482673E-2</v>
      </c>
      <c r="E34" s="405">
        <v>0.15</v>
      </c>
    </row>
    <row r="35" spans="2:5" x14ac:dyDescent="0.55000000000000004">
      <c r="B35" s="2" t="str">
        <f>[1]Afgrødefordeling!$C5</f>
        <v>Græs</v>
      </c>
      <c r="C35" s="301">
        <f>'[1]Afgrødefordeling - jordtype'!$Y7</f>
        <v>0.10115967422642448</v>
      </c>
      <c r="D35" s="87">
        <v>0.09</v>
      </c>
      <c r="E35" s="405">
        <v>0.35</v>
      </c>
    </row>
    <row r="36" spans="2:5" x14ac:dyDescent="0.55000000000000004">
      <c r="B36" s="2" t="str">
        <f>[1]Afgrødefordeling!$C6</f>
        <v>Grøntsager</v>
      </c>
      <c r="C36" s="301">
        <f>'[1]Afgrødefordeling - jordtype'!$Y8</f>
        <v>5.2060865589185204E-3</v>
      </c>
      <c r="D36" s="87">
        <v>0.03</v>
      </c>
      <c r="E36" s="405">
        <v>0.1</v>
      </c>
    </row>
    <row r="37" spans="2:5" x14ac:dyDescent="0.55000000000000004">
      <c r="B37" s="2" t="str">
        <f>[1]Afgrødefordeling!$C7</f>
        <v>Kartofler</v>
      </c>
      <c r="C37" s="301">
        <f>'[1]Afgrødefordeling - jordtype'!$Y9</f>
        <v>2.189728375215861E-2</v>
      </c>
      <c r="D37" s="87">
        <v>2.189728375215861E-2</v>
      </c>
      <c r="E37" s="87">
        <v>0</v>
      </c>
    </row>
    <row r="38" spans="2:5" x14ac:dyDescent="0.55000000000000004">
      <c r="B38" s="2" t="str">
        <f>[1]Afgrødefordeling!$C8</f>
        <v>Roer</v>
      </c>
      <c r="C38" s="301">
        <f>'[1]Afgrødefordeling - jordtype'!$Y10</f>
        <v>1.3466912404096722E-2</v>
      </c>
      <c r="D38" s="87">
        <v>1.3466912404096722E-2</v>
      </c>
      <c r="E38" s="87">
        <v>0</v>
      </c>
    </row>
    <row r="39" spans="2:5" x14ac:dyDescent="0.55000000000000004">
      <c r="B39" s="2" t="str">
        <f>[1]Afgrødefordeling!$C9</f>
        <v>Majs</v>
      </c>
      <c r="C39" s="301">
        <f>'[1]Afgrødefordeling - jordtype'!$Y11</f>
        <v>7.2759287296729286E-2</v>
      </c>
      <c r="D39" s="87">
        <v>5.6000000000000001E-2</v>
      </c>
      <c r="E39" s="87">
        <v>0</v>
      </c>
    </row>
    <row r="40" spans="2:5" x14ac:dyDescent="0.55000000000000004">
      <c r="B40" s="2" t="str">
        <f>[1]Afgrødefordeling!$C10</f>
        <v>Frugt</v>
      </c>
      <c r="C40" s="301">
        <f>'[1]Afgrødefordeling - jordtype'!$Y12</f>
        <v>2.0301913757470973E-3</v>
      </c>
      <c r="D40" s="87">
        <v>2.0301913757470973E-3</v>
      </c>
      <c r="E40" s="405">
        <f>15%-E43-E44</f>
        <v>0.13949555554562554</v>
      </c>
    </row>
    <row r="41" spans="2:5" x14ac:dyDescent="0.55000000000000004">
      <c r="B41" s="2" t="str">
        <f>[1]Afgrødefordeling!$C11</f>
        <v>Øvrige</v>
      </c>
      <c r="C41" s="301">
        <f>'[1]Afgrødefordeling - jordtype'!$Y13</f>
        <v>2.7968670218625629E-2</v>
      </c>
      <c r="D41" s="87">
        <v>2.7968670218625629E-2</v>
      </c>
      <c r="E41" s="87">
        <v>0</v>
      </c>
    </row>
    <row r="42" spans="2:5" x14ac:dyDescent="0.55000000000000004">
      <c r="B42" s="2" t="str">
        <f>[1]Afgrødefordeling!$C12</f>
        <v>Frø</v>
      </c>
      <c r="C42" s="301">
        <f>'[1]Afgrødefordeling - jordtype'!$Y14</f>
        <v>4.0395307311065158E-2</v>
      </c>
      <c r="D42" s="87">
        <v>4.0395307311065158E-2</v>
      </c>
      <c r="E42" s="87">
        <v>0</v>
      </c>
    </row>
    <row r="43" spans="2:5" x14ac:dyDescent="0.55000000000000004">
      <c r="B43" s="2" t="str">
        <f>[1]Afgrødefordeling!$C13</f>
        <v>Juletræer</v>
      </c>
      <c r="C43" s="301">
        <f>'[1]Afgrødefordeling - jordtype'!$Y15</f>
        <v>7.5869349743828522E-3</v>
      </c>
      <c r="D43" s="87">
        <v>7.5869349743828522E-3</v>
      </c>
      <c r="E43" s="405">
        <v>7.5869349743828522E-3</v>
      </c>
    </row>
    <row r="44" spans="2:5" x14ac:dyDescent="0.55000000000000004">
      <c r="B44" s="2" t="str">
        <f>[1]Afgrødefordeling!$C14</f>
        <v>Pil &amp; poppel</v>
      </c>
      <c r="C44" s="301">
        <f>'[1]Afgrødefordeling - jordtype'!$Y16</f>
        <v>2.9175094799916215E-3</v>
      </c>
      <c r="D44" s="87">
        <v>2.9175094799916215E-3</v>
      </c>
      <c r="E44" s="405">
        <v>2.9175094799916215E-3</v>
      </c>
    </row>
    <row r="45" spans="2:5" x14ac:dyDescent="0.55000000000000004">
      <c r="B45" s="2" t="str">
        <f>[1]Afgrødefordeling!$C15</f>
        <v>Permanent græs</v>
      </c>
      <c r="C45" s="301">
        <f>'[1]Afgrødefordeling - jordtype'!$Y17</f>
        <v>7.0772837129970206E-2</v>
      </c>
      <c r="D45" s="87">
        <v>0.11</v>
      </c>
      <c r="E45" s="87">
        <v>0</v>
      </c>
    </row>
    <row r="46" spans="2:5" x14ac:dyDescent="0.55000000000000004">
      <c r="B46" s="24" t="s">
        <v>288</v>
      </c>
      <c r="C46" s="84"/>
      <c r="D46" s="86">
        <f>SUM(D32:D45)</f>
        <v>0.99959249810155038</v>
      </c>
      <c r="E46" s="86">
        <f>SUM(E32:E45)</f>
        <v>1</v>
      </c>
    </row>
    <row r="47" spans="2:5" x14ac:dyDescent="0.55000000000000004">
      <c r="B47" s="24" t="s">
        <v>242</v>
      </c>
      <c r="C47" s="84"/>
      <c r="D47" s="108" cm="1">
        <f t="array" ref="D47">SUMPRODUCT((D32:D45&gt;$C$32:$C$45)*(D32:D45-$C$32:$C$45))*Arealanvendelse!M6</f>
        <v>352717.00277733145</v>
      </c>
      <c r="E47" s="108" cm="1">
        <f t="array" ref="E47">SUMPRODUCT((E32:E45&gt;$C$32:$C$45)*(E32:E45-$C$32:$C$45))*Arealanvendelse!P6</f>
        <v>1687256.1012905941</v>
      </c>
    </row>
    <row r="48" spans="2:5" x14ac:dyDescent="0.55000000000000004">
      <c r="B48" s="24" t="s">
        <v>241</v>
      </c>
      <c r="C48" s="103"/>
      <c r="D48" s="108">
        <f>1%*Arealanvendelse!M6</f>
        <v>22749.360000000001</v>
      </c>
      <c r="E48" s="108">
        <f>1%*Arealanvendelse!P6</f>
        <v>21499.359999999997</v>
      </c>
    </row>
    <row r="49" spans="2:8" x14ac:dyDescent="0.55000000000000004">
      <c r="D49" s="98"/>
      <c r="E49" s="98"/>
      <c r="H49" s="98"/>
    </row>
    <row r="50" spans="2:8" ht="15" customHeight="1" x14ac:dyDescent="0.55000000000000004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55000000000000004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6" spans="2:8" x14ac:dyDescent="0.55000000000000004">
      <c r="C56" s="394">
        <f>SUM(C32,C35,C38:C39,C45)</f>
        <v>0.79569205391369902</v>
      </c>
      <c r="D56" s="394">
        <f>SUM(D32,D35,D38:D39,D45)</f>
        <v>0.67946691240409673</v>
      </c>
      <c r="E56" s="394">
        <f>SUM(E32,E35,E38:E39,E45)</f>
        <v>0.35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C20" sqref="C20:E24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06" t="s">
        <v>271</v>
      </c>
    </row>
    <row r="2" spans="1:9" ht="14.7" thickBot="1" x14ac:dyDescent="0.6">
      <c r="A2" s="291"/>
      <c r="B2" s="291"/>
      <c r="C2" s="291">
        <f>År1</f>
        <v>2019</v>
      </c>
      <c r="D2" s="291">
        <f>År2</f>
        <v>2030</v>
      </c>
      <c r="E2" s="291">
        <f>År3</f>
        <v>2050</v>
      </c>
      <c r="F2" s="291" t="s">
        <v>314</v>
      </c>
    </row>
    <row r="3" spans="1:9" x14ac:dyDescent="0.55000000000000004">
      <c r="A3" s="292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90">
        <f>C3</f>
        <v>0.39994582515067378</v>
      </c>
      <c r="E3" s="290">
        <f>D3</f>
        <v>0.39994582515067378</v>
      </c>
      <c r="I3" s="220"/>
    </row>
    <row r="4" spans="1:9" x14ac:dyDescent="0.55000000000000004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90">
        <f t="shared" ref="D4:E4" si="0">C4</f>
        <v>1.1105844111871065E-2</v>
      </c>
      <c r="E4" s="290">
        <f t="shared" si="0"/>
        <v>1.1105844111871065E-2</v>
      </c>
      <c r="I4" s="220"/>
    </row>
    <row r="5" spans="1:9" x14ac:dyDescent="0.55000000000000004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90">
        <f t="shared" ref="D5:E5" si="1">C5</f>
        <v>0</v>
      </c>
      <c r="E5" s="290">
        <f t="shared" si="1"/>
        <v>0</v>
      </c>
      <c r="I5" s="220"/>
    </row>
    <row r="6" spans="1:9" x14ac:dyDescent="0.55000000000000004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90">
        <f t="shared" ref="D6:E6" si="2">C6</f>
        <v>5.2820478093045303E-3</v>
      </c>
      <c r="E6" s="290">
        <f t="shared" si="2"/>
        <v>5.2820478093045303E-3</v>
      </c>
      <c r="I6" s="220"/>
    </row>
    <row r="7" spans="1:9" x14ac:dyDescent="0.55000000000000004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90">
        <f t="shared" ref="D7:E7" si="3">C7</f>
        <v>9.683754317058306E-3</v>
      </c>
      <c r="E7" s="290">
        <f t="shared" si="3"/>
        <v>9.683754317058306E-3</v>
      </c>
      <c r="I7" s="220"/>
    </row>
    <row r="8" spans="1:9" x14ac:dyDescent="0.55000000000000004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90">
        <f t="shared" ref="D8:E8" si="4">C8</f>
        <v>0.1132931536534164</v>
      </c>
      <c r="E8" s="290">
        <f t="shared" si="4"/>
        <v>0.1132931536534164</v>
      </c>
      <c r="I8" s="220"/>
    </row>
    <row r="9" spans="1:9" x14ac:dyDescent="0.55000000000000004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90">
        <f t="shared" ref="D9:E9" si="5">C9</f>
        <v>1.6320173359517843E-2</v>
      </c>
      <c r="E9" s="290">
        <f t="shared" si="5"/>
        <v>1.6320173359517843E-2</v>
      </c>
      <c r="I9" s="220"/>
    </row>
    <row r="10" spans="1:9" x14ac:dyDescent="0.55000000000000004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90">
        <f t="shared" ref="D10:E10" si="6">C10</f>
        <v>0</v>
      </c>
      <c r="E10" s="290">
        <f t="shared" si="6"/>
        <v>0</v>
      </c>
      <c r="I10" s="220"/>
    </row>
    <row r="11" spans="1:9" x14ac:dyDescent="0.55000000000000004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90">
        <f t="shared" ref="D11:E11" si="7">C11</f>
        <v>0</v>
      </c>
      <c r="E11" s="290">
        <f t="shared" si="7"/>
        <v>0</v>
      </c>
      <c r="I11" s="220"/>
    </row>
    <row r="12" spans="1:9" x14ac:dyDescent="0.55000000000000004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90">
        <f t="shared" ref="D12:E12" si="8">C12</f>
        <v>0.15385657208640888</v>
      </c>
      <c r="E12" s="290">
        <f t="shared" si="8"/>
        <v>0.15385657208640888</v>
      </c>
    </row>
    <row r="13" spans="1:9" x14ac:dyDescent="0.55000000000000004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90">
        <f t="shared" ref="D13:E13" si="9">C13</f>
        <v>1.1038125550213313E-2</v>
      </c>
      <c r="E13" s="290">
        <f t="shared" si="9"/>
        <v>1.1038125550213313E-2</v>
      </c>
    </row>
    <row r="14" spans="1:9" x14ac:dyDescent="0.55000000000000004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55000000000000004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90">
        <f>C15</f>
        <v>0</v>
      </c>
      <c r="E15" s="290">
        <f>D15</f>
        <v>0</v>
      </c>
    </row>
    <row r="16" spans="1:9" x14ac:dyDescent="0.55000000000000004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90">
        <f t="shared" ref="D16:E16" si="10">C16</f>
        <v>8.1939459605877979E-3</v>
      </c>
      <c r="E16" s="290">
        <f t="shared" si="10"/>
        <v>8.1939459605877979E-3</v>
      </c>
    </row>
    <row r="17" spans="1:6" ht="14.7" thickBot="1" x14ac:dyDescent="0.6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90">
        <f t="shared" ref="D17:E17" si="11">C17</f>
        <v>0.27128055800094808</v>
      </c>
      <c r="E17" s="290">
        <f t="shared" si="11"/>
        <v>0.27128055800094808</v>
      </c>
      <c r="F17" s="291"/>
    </row>
    <row r="18" spans="1:6" ht="14.7" thickBot="1" x14ac:dyDescent="0.6">
      <c r="A18" s="221" t="s">
        <v>30</v>
      </c>
      <c r="B18" s="221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4" t="s">
        <v>316</v>
      </c>
    </row>
    <row r="20" spans="1:6" x14ac:dyDescent="0.55000000000000004">
      <c r="D20" s="394"/>
    </row>
    <row r="21" spans="1:6" x14ac:dyDescent="0.55000000000000004">
      <c r="D21" s="394"/>
      <c r="E21" s="394"/>
    </row>
    <row r="22" spans="1:6" x14ac:dyDescent="0.55000000000000004">
      <c r="D22" s="394"/>
      <c r="E22" s="394"/>
    </row>
    <row r="23" spans="1:6" x14ac:dyDescent="0.55000000000000004">
      <c r="D23" s="394"/>
      <c r="E23" s="394"/>
    </row>
    <row r="24" spans="1:6" x14ac:dyDescent="0.55000000000000004">
      <c r="D24" s="394"/>
      <c r="E24" s="394"/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59" sqref="D59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05" t="s">
        <v>271</v>
      </c>
    </row>
    <row r="2" spans="1:4" x14ac:dyDescent="0.55000000000000004">
      <c r="A2" t="s">
        <v>247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280</v>
      </c>
      <c r="B9" s="2"/>
      <c r="C9" s="188">
        <v>5.0000000000000001E-3</v>
      </c>
      <c r="D9" s="4"/>
    </row>
    <row r="10" spans="1:4" x14ac:dyDescent="0.55000000000000004">
      <c r="A10" s="79"/>
      <c r="B10" s="79"/>
      <c r="C10" s="79"/>
      <c r="D10" s="81"/>
    </row>
    <row r="11" spans="1:4" x14ac:dyDescent="0.55000000000000004">
      <c r="A11" s="2" t="s">
        <v>279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55000000000000004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55000000000000004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55000000000000004">
      <c r="A16" s="2" t="s">
        <v>179</v>
      </c>
      <c r="B16" s="7">
        <v>0</v>
      </c>
      <c r="C16" s="8">
        <v>0.45</v>
      </c>
      <c r="D16" s="8">
        <v>0.45</v>
      </c>
    </row>
    <row r="17" spans="1:8" ht="14.7" thickBot="1" x14ac:dyDescent="0.6">
      <c r="A17" s="309" t="s">
        <v>180</v>
      </c>
      <c r="B17" s="310">
        <v>0</v>
      </c>
      <c r="C17" s="313">
        <v>0</v>
      </c>
      <c r="D17" s="313">
        <v>0</v>
      </c>
    </row>
    <row r="18" spans="1:8" ht="14.7" thickBot="1" x14ac:dyDescent="0.6">
      <c r="A18" s="311" t="s">
        <v>30</v>
      </c>
      <c r="B18" s="312"/>
      <c r="C18" s="312">
        <f>SUM(C13:C17)</f>
        <v>1</v>
      </c>
      <c r="D18" s="312">
        <f>SUM(D13:D17)</f>
        <v>1</v>
      </c>
    </row>
    <row r="19" spans="1:8" x14ac:dyDescent="0.55000000000000004">
      <c r="B19" s="12"/>
      <c r="C19" s="12"/>
      <c r="D19" s="12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55000000000000004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55000000000000004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5990.8547557908014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3672.2025152281963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1058.8969643834553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692.58198008610782</v>
      </c>
    </row>
    <row r="24" spans="1:8" hidden="1" x14ac:dyDescent="0.55000000000000004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602.03212367175934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3719.4227792491643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106.75219451005873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706.63266688518274</v>
      </c>
    </row>
    <row r="25" spans="1:8" hidden="1" x14ac:dyDescent="0.55000000000000004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5990.8547557908014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1058.8969643834553</v>
      </c>
    </row>
    <row r="26" spans="1:8" hidden="1" x14ac:dyDescent="0.55000000000000004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600.04669858305454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106.40013940050427</v>
      </c>
    </row>
    <row r="27" spans="1:8" hidden="1" x14ac:dyDescent="0.55000000000000004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53925.95798889982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34274.402036728592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9531.5382604265742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6453.4988841159684</v>
      </c>
    </row>
    <row r="28" spans="1:8" hidden="1" x14ac:dyDescent="0.55000000000000004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5410.0239262632222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33725.234224713757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959.30416961505148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6400.3081467191514</v>
      </c>
    </row>
    <row r="29" spans="1:8" hidden="1" x14ac:dyDescent="0.55000000000000004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52603.55245068777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9297.7225933179252</v>
      </c>
    </row>
    <row r="30" spans="1:8" hidden="1" x14ac:dyDescent="0.55000000000000004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5239.5520275308181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929.07613264421627</v>
      </c>
    </row>
    <row r="31" spans="1:8" hidden="1" x14ac:dyDescent="0.55000000000000004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5990.8547557908014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3671.3116940007144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1058.8969643834553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692.42401987566257</v>
      </c>
    </row>
    <row r="32" spans="1:8" hidden="1" x14ac:dyDescent="0.55000000000000004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602.03212367175934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3719.4227792491643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106.75219451005873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706.63266688518274</v>
      </c>
    </row>
    <row r="33" spans="1:10" hidden="1" x14ac:dyDescent="0.55000000000000004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5990.8547557908014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1058.8969643834553</v>
      </c>
    </row>
    <row r="34" spans="1:10" hidden="1" x14ac:dyDescent="0.55000000000000004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600.93751981053799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106.55809961094953</v>
      </c>
    </row>
    <row r="35" spans="1:10" hidden="1" x14ac:dyDescent="0.55000000000000004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53929.586607487312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34380.26923722338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9532.181686220687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6473.7861562589387</v>
      </c>
    </row>
    <row r="36" spans="1:10" hidden="1" x14ac:dyDescent="0.55000000000000004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5406.3953076757343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33825.331863169748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958.66074382093962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6416.4042061689133</v>
      </c>
    </row>
    <row r="37" spans="1:10" hidden="1" x14ac:dyDescent="0.55000000000000004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52404.419555420332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9262.5507003715484</v>
      </c>
    </row>
    <row r="38" spans="1:10" hidden="1" x14ac:dyDescent="0.55000000000000004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5232.7200838474982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927.86469399786017</v>
      </c>
    </row>
    <row r="39" spans="1:10" hidden="1" x14ac:dyDescent="0.55000000000000004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37"/>
    </row>
    <row r="44" spans="1:10" hidden="1" x14ac:dyDescent="0.55000000000000004">
      <c r="B44" s="137"/>
    </row>
    <row r="45" spans="1:10" hidden="1" x14ac:dyDescent="0.55000000000000004">
      <c r="B45" s="137"/>
    </row>
    <row r="46" spans="1:10" hidden="1" x14ac:dyDescent="0.55000000000000004"/>
    <row r="47" spans="1:10" hidden="1" x14ac:dyDescent="0.55000000000000004">
      <c r="A47" s="414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55000000000000004">
      <c r="A48" s="415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55000000000000004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55000000000000004">
      <c r="A50" s="2" t="s">
        <v>176</v>
      </c>
      <c r="B50" s="103">
        <f t="shared" si="0"/>
        <v>0</v>
      </c>
      <c r="C50" s="103">
        <f t="shared" ca="1" si="0"/>
        <v>6592.8868794625605</v>
      </c>
      <c r="D50" s="103">
        <f t="shared" ca="1" si="0"/>
        <v>13982.526748851216</v>
      </c>
      <c r="E50" s="103">
        <f t="shared" ca="1" si="0"/>
        <v>0</v>
      </c>
      <c r="F50" s="103">
        <f t="shared" ca="1" si="0"/>
        <v>1165.6491588935139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7758.5360383560746</v>
      </c>
      <c r="J50" s="103">
        <f t="shared" ca="1" si="1"/>
        <v>16547.038499606468</v>
      </c>
    </row>
    <row r="51" spans="1:10" hidden="1" x14ac:dyDescent="0.55000000000000004">
      <c r="A51" s="2" t="s">
        <v>177</v>
      </c>
      <c r="B51" s="103">
        <f t="shared" si="0"/>
        <v>0</v>
      </c>
      <c r="C51" s="103">
        <f ca="1">SUMIF($A$22:$A$42,$A51,D$22:D$42)</f>
        <v>59335.981915163044</v>
      </c>
      <c r="D51" s="103">
        <f t="shared" ca="1" si="0"/>
        <v>125842.74073966095</v>
      </c>
      <c r="E51" s="103">
        <f t="shared" ca="1" si="0"/>
        <v>0</v>
      </c>
      <c r="F51" s="103">
        <f t="shared" ca="1" si="0"/>
        <v>10490.842430041626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69826.824345204674</v>
      </c>
      <c r="J51" s="103">
        <f t="shared" ca="1" si="1"/>
        <v>148923.34649645822</v>
      </c>
    </row>
    <row r="52" spans="1:10" hidden="1" x14ac:dyDescent="0.55000000000000004">
      <c r="A52" s="2" t="s">
        <v>178</v>
      </c>
      <c r="B52" s="103">
        <f t="shared" si="0"/>
        <v>0</v>
      </c>
      <c r="C52" s="103">
        <f t="shared" ca="1" si="0"/>
        <v>6592.8868794625605</v>
      </c>
      <c r="D52" s="103">
        <f t="shared" ca="1" si="0"/>
        <v>13982.526748851218</v>
      </c>
      <c r="E52" s="103">
        <f t="shared" ca="1" si="0"/>
        <v>0</v>
      </c>
      <c r="F52" s="103">
        <f t="shared" ca="1" si="0"/>
        <v>1165.6491588935139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7758.5360383560746</v>
      </c>
      <c r="J52" s="103">
        <f t="shared" ca="1" si="1"/>
        <v>16547.038499606468</v>
      </c>
    </row>
    <row r="53" spans="1:10" hidden="1" x14ac:dyDescent="0.55000000000000004">
      <c r="A53" s="2" t="s">
        <v>179</v>
      </c>
      <c r="B53" s="103">
        <f t="shared" si="0"/>
        <v>0</v>
      </c>
      <c r="C53" s="103">
        <f t="shared" ca="1" si="0"/>
        <v>59335.981915163044</v>
      </c>
      <c r="D53" s="103">
        <f t="shared" ca="1" si="0"/>
        <v>125842.74073966096</v>
      </c>
      <c r="E53" s="103">
        <f t="shared" ca="1" si="0"/>
        <v>0</v>
      </c>
      <c r="F53" s="103">
        <f t="shared" ca="1" si="0"/>
        <v>10490.842430041626</v>
      </c>
      <c r="G53" s="103">
        <f t="shared" ca="1" si="0"/>
        <v>23080.605756797264</v>
      </c>
      <c r="H53" s="103">
        <f t="shared" ca="1" si="2"/>
        <v>0</v>
      </c>
      <c r="I53" s="103">
        <f t="shared" ca="1" si="1"/>
        <v>69826.824345204674</v>
      </c>
      <c r="J53" s="103">
        <f t="shared" ca="1" si="1"/>
        <v>148923.34649645822</v>
      </c>
    </row>
    <row r="54" spans="1:10" hidden="1" x14ac:dyDescent="0.55000000000000004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55000000000000004"/>
    <row r="57" spans="1:10" x14ac:dyDescent="0.55000000000000004">
      <c r="A57" s="1" t="s">
        <v>327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14" t="s">
        <v>119</v>
      </c>
      <c r="B60" s="310">
        <f>'[1]Processer - data'!$H424</f>
        <v>0.52</v>
      </c>
      <c r="C60" s="313">
        <f>B60</f>
        <v>0.52</v>
      </c>
      <c r="D60" s="313">
        <f>C60</f>
        <v>0.52</v>
      </c>
    </row>
    <row r="61" spans="1:10" ht="14.7" thickBot="1" x14ac:dyDescent="0.6">
      <c r="A61" s="311" t="s">
        <v>30</v>
      </c>
      <c r="B61" s="312">
        <f>SUM(B59:B60)</f>
        <v>1</v>
      </c>
      <c r="C61" s="312">
        <f t="shared" ref="C61:D61" si="3">SUM(C59:C60)</f>
        <v>1</v>
      </c>
      <c r="D61" s="31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4.4" x14ac:dyDescent="0.55000000000000004"/>
  <cols>
    <col min="1" max="1" width="10.15625" bestFit="1" customWidth="1"/>
    <col min="2" max="2" width="12.68359375" bestFit="1" customWidth="1"/>
  </cols>
  <sheetData>
    <row r="1" spans="1:36" x14ac:dyDescent="0.55000000000000004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55000000000000004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602.03212367175934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55000000000000004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601.48829301972796</v>
      </c>
      <c r="G3">
        <f ca="1">IF($C3-G$1&lt;År1,0,F2*(1-VLOOKUP($A3,[1]Hugst!$R$5:$W$9,MATCH(ROUNDUP((G$1)/10,0)*10,[1]Hugst!$R$4:$W$4,0))))</f>
        <v>602.03212367175934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55000000000000004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600.94718152096243</v>
      </c>
      <c r="G4">
        <f ca="1">IF($C4-G$1&lt;År1,0,F3*(1-VLOOKUP($A4,[1]Hugst!$R$5:$W$9,MATCH(ROUNDUP((G$1)/10,0)*10,[1]Hugst!$R$4:$W$4,0))))</f>
        <v>601.48829301972796</v>
      </c>
      <c r="H4">
        <f ca="1">IF($C4-H$1&lt;År1,0,G3*(1-VLOOKUP($A4,[1]Hugst!$R$5:$W$9,MATCH(ROUNDUP((H$1)/10,0)*10,[1]Hugst!$R$4:$W$4,0))))</f>
        <v>602.03212367175934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55000000000000004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600.40877557968702</v>
      </c>
      <c r="G5">
        <f ca="1">IF($C5-G$1&lt;År1,0,F4*(1-VLOOKUP($A5,[1]Hugst!$R$5:$W$9,MATCH(ROUNDUP((G$1)/10,0)*10,[1]Hugst!$R$4:$W$4,0))))</f>
        <v>600.94718152096243</v>
      </c>
      <c r="H5">
        <f ca="1">IF($C5-H$1&lt;År1,0,G4*(1-VLOOKUP($A5,[1]Hugst!$R$5:$W$9,MATCH(ROUNDUP((H$1)/10,0)*10,[1]Hugst!$R$4:$W$4,0))))</f>
        <v>601.48829301972796</v>
      </c>
      <c r="I5">
        <f ca="1">IF($C5-I$1&lt;År1,0,H4*(1-VLOOKUP($A5,[1]Hugst!$R$5:$W$9,MATCH(ROUNDUP((I$1)/10,0)*10,[1]Hugst!$R$4:$W$4,0))))</f>
        <v>602.03212367175934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55000000000000004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599.87306166811823</v>
      </c>
      <c r="G6">
        <f ca="1">IF($C6-G$1&lt;År1,0,F5*(1-VLOOKUP($A6,[1]Hugst!$R$5:$W$9,MATCH(ROUNDUP((G$1)/10,0)*10,[1]Hugst!$R$4:$W$4,0))))</f>
        <v>600.40877557968702</v>
      </c>
      <c r="H6">
        <f ca="1">IF($C6-H$1&lt;År1,0,G5*(1-VLOOKUP($A6,[1]Hugst!$R$5:$W$9,MATCH(ROUNDUP((H$1)/10,0)*10,[1]Hugst!$R$4:$W$4,0))))</f>
        <v>600.94718152096243</v>
      </c>
      <c r="I6">
        <f ca="1">IF($C6-I$1&lt;År1,0,H5*(1-VLOOKUP($A6,[1]Hugst!$R$5:$W$9,MATCH(ROUNDUP((I$1)/10,0)*10,[1]Hugst!$R$4:$W$4,0))))</f>
        <v>601.48829301972796</v>
      </c>
      <c r="J6">
        <f ca="1">IF($C6-J$1&lt;År1,0,I5*(1-VLOOKUP($A6,[1]Hugst!$R$5:$W$9,MATCH(ROUNDUP((J$1)/10,0)*10,[1]Hugst!$R$4:$W$4,0))))</f>
        <v>602.03212367175934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55000000000000004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599.34002632610714</v>
      </c>
      <c r="G7">
        <f ca="1">IF($C7-G$1&lt;År1,0,F6*(1-VLOOKUP($A7,[1]Hugst!$R$5:$W$9,MATCH(ROUNDUP((G$1)/10,0)*10,[1]Hugst!$R$4:$W$4,0))))</f>
        <v>599.87306166811823</v>
      </c>
      <c r="H7">
        <f ca="1">IF($C7-H$1&lt;År1,0,G6*(1-VLOOKUP($A7,[1]Hugst!$R$5:$W$9,MATCH(ROUNDUP((H$1)/10,0)*10,[1]Hugst!$R$4:$W$4,0))))</f>
        <v>600.40877557968702</v>
      </c>
      <c r="I7">
        <f ca="1">IF($C7-I$1&lt;År1,0,H6*(1-VLOOKUP($A7,[1]Hugst!$R$5:$W$9,MATCH(ROUNDUP((I$1)/10,0)*10,[1]Hugst!$R$4:$W$4,0))))</f>
        <v>600.94718152096243</v>
      </c>
      <c r="J7">
        <f ca="1">IF($C7-J$1&lt;År1,0,I6*(1-VLOOKUP($A7,[1]Hugst!$R$5:$W$9,MATCH(ROUNDUP((J$1)/10,0)*10,[1]Hugst!$R$4:$W$4,0))))</f>
        <v>601.48829301972796</v>
      </c>
      <c r="K7">
        <f ca="1">IF($C7-K$1&lt;År1,0,J6*(1-VLOOKUP($A7,[1]Hugst!$R$5:$W$9,MATCH(ROUNDUP((K$1)/10,0)*10,[1]Hugst!$R$4:$W$4,0))))</f>
        <v>602.03212367175934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55000000000000004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598.80965616080709</v>
      </c>
      <c r="G8">
        <f ca="1">IF($C8-G$1&lt;År1,0,F7*(1-VLOOKUP($A8,[1]Hugst!$R$5:$W$9,MATCH(ROUNDUP((G$1)/10,0)*10,[1]Hugst!$R$4:$W$4,0))))</f>
        <v>599.34002632610714</v>
      </c>
      <c r="H8">
        <f ca="1">IF($C8-H$1&lt;År1,0,G7*(1-VLOOKUP($A8,[1]Hugst!$R$5:$W$9,MATCH(ROUNDUP((H$1)/10,0)*10,[1]Hugst!$R$4:$W$4,0))))</f>
        <v>599.87306166811823</v>
      </c>
      <c r="I8">
        <f ca="1">IF($C8-I$1&lt;År1,0,H7*(1-VLOOKUP($A8,[1]Hugst!$R$5:$W$9,MATCH(ROUNDUP((I$1)/10,0)*10,[1]Hugst!$R$4:$W$4,0))))</f>
        <v>600.40877557968702</v>
      </c>
      <c r="J8">
        <f ca="1">IF($C8-J$1&lt;År1,0,I7*(1-VLOOKUP($A8,[1]Hugst!$R$5:$W$9,MATCH(ROUNDUP((J$1)/10,0)*10,[1]Hugst!$R$4:$W$4,0))))</f>
        <v>600.94718152096243</v>
      </c>
      <c r="K8">
        <f ca="1">IF($C8-K$1&lt;År1,0,J7*(1-VLOOKUP($A8,[1]Hugst!$R$5:$W$9,MATCH(ROUNDUP((K$1)/10,0)*10,[1]Hugst!$R$4:$W$4,0))))</f>
        <v>601.48829301972796</v>
      </c>
      <c r="L8">
        <f ca="1">IF($C8-L$1&lt;År1,0,K7*(1-VLOOKUP($A8,[1]Hugst!$R$5:$W$9,MATCH(ROUNDUP((L$1)/10,0)*10,[1]Hugst!$R$4:$W$4,0))))</f>
        <v>602.03212367175934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55000000000000004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598.28193784633402</v>
      </c>
      <c r="G9">
        <f ca="1">IF($C9-G$1&lt;År1,0,F8*(1-VLOOKUP($A9,[1]Hugst!$R$5:$W$9,MATCH(ROUNDUP((G$1)/10,0)*10,[1]Hugst!$R$4:$W$4,0))))</f>
        <v>598.80965616080709</v>
      </c>
      <c r="H9">
        <f ca="1">IF($C9-H$1&lt;År1,0,G8*(1-VLOOKUP($A9,[1]Hugst!$R$5:$W$9,MATCH(ROUNDUP((H$1)/10,0)*10,[1]Hugst!$R$4:$W$4,0))))</f>
        <v>599.34002632610714</v>
      </c>
      <c r="I9">
        <f ca="1">IF($C9-I$1&lt;År1,0,H8*(1-VLOOKUP($A9,[1]Hugst!$R$5:$W$9,MATCH(ROUNDUP((I$1)/10,0)*10,[1]Hugst!$R$4:$W$4,0))))</f>
        <v>599.87306166811823</v>
      </c>
      <c r="J9">
        <f ca="1">IF($C9-J$1&lt;År1,0,I8*(1-VLOOKUP($A9,[1]Hugst!$R$5:$W$9,MATCH(ROUNDUP((J$1)/10,0)*10,[1]Hugst!$R$4:$W$4,0))))</f>
        <v>600.40877557968702</v>
      </c>
      <c r="K9">
        <f ca="1">IF($C9-K$1&lt;År1,0,J8*(1-VLOOKUP($A9,[1]Hugst!$R$5:$W$9,MATCH(ROUNDUP((K$1)/10,0)*10,[1]Hugst!$R$4:$W$4,0))))</f>
        <v>600.94718152096243</v>
      </c>
      <c r="L9">
        <f ca="1">IF($C9-L$1&lt;År1,0,K8*(1-VLOOKUP($A9,[1]Hugst!$R$5:$W$9,MATCH(ROUNDUP((L$1)/10,0)*10,[1]Hugst!$R$4:$W$4,0))))</f>
        <v>601.48829301972796</v>
      </c>
      <c r="M9">
        <f ca="1">IF($C9-M$1&lt;År1,0,L8*(1-VLOOKUP($A9,[1]Hugst!$R$5:$W$9,MATCH(ROUNDUP((M$1)/10,0)*10,[1]Hugst!$R$4:$W$4,0))))</f>
        <v>602.03212367175934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55000000000000004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597.75685812343352</v>
      </c>
      <c r="G10">
        <f ca="1">IF($C10-G$1&lt;År1,0,F9*(1-VLOOKUP($A10,[1]Hugst!$R$5:$W$9,MATCH(ROUNDUP((G$1)/10,0)*10,[1]Hugst!$R$4:$W$4,0))))</f>
        <v>598.28193784633402</v>
      </c>
      <c r="H10">
        <f ca="1">IF($C10-H$1&lt;År1,0,G9*(1-VLOOKUP($A10,[1]Hugst!$R$5:$W$9,MATCH(ROUNDUP((H$1)/10,0)*10,[1]Hugst!$R$4:$W$4,0))))</f>
        <v>598.80965616080709</v>
      </c>
      <c r="I10">
        <f ca="1">IF($C10-I$1&lt;År1,0,H9*(1-VLOOKUP($A10,[1]Hugst!$R$5:$W$9,MATCH(ROUNDUP((I$1)/10,0)*10,[1]Hugst!$R$4:$W$4,0))))</f>
        <v>599.34002632610714</v>
      </c>
      <c r="J10">
        <f ca="1">IF($C10-J$1&lt;År1,0,I9*(1-VLOOKUP($A10,[1]Hugst!$R$5:$W$9,MATCH(ROUNDUP((J$1)/10,0)*10,[1]Hugst!$R$4:$W$4,0))))</f>
        <v>599.87306166811823</v>
      </c>
      <c r="K10">
        <f ca="1">IF($C10-K$1&lt;År1,0,J9*(1-VLOOKUP($A10,[1]Hugst!$R$5:$W$9,MATCH(ROUNDUP((K$1)/10,0)*10,[1]Hugst!$R$4:$W$4,0))))</f>
        <v>600.40877557968702</v>
      </c>
      <c r="L10">
        <f ca="1">IF($C10-L$1&lt;År1,0,K9*(1-VLOOKUP($A10,[1]Hugst!$R$5:$W$9,MATCH(ROUNDUP((L$1)/10,0)*10,[1]Hugst!$R$4:$W$4,0))))</f>
        <v>600.94718152096243</v>
      </c>
      <c r="M10">
        <f ca="1">IF($C10-M$1&lt;År1,0,L9*(1-VLOOKUP($A10,[1]Hugst!$R$5:$W$9,MATCH(ROUNDUP((M$1)/10,0)*10,[1]Hugst!$R$4:$W$4,0))))</f>
        <v>601.48829301972796</v>
      </c>
      <c r="N10">
        <f ca="1">IF($C10-N$1&lt;År1,0,M9*(1-VLOOKUP($A10,[1]Hugst!$R$5:$W$9,MATCH(ROUNDUP((N$1)/10,0)*10,[1]Hugst!$R$4:$W$4,0))))</f>
        <v>602.03212367175934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55000000000000004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597.23440379914155</v>
      </c>
      <c r="G11">
        <f ca="1">IF($C11-G$1&lt;År1,0,F10*(1-VLOOKUP($A11,[1]Hugst!$R$5:$W$9,MATCH(ROUNDUP((G$1)/10,0)*10,[1]Hugst!$R$4:$W$4,0))))</f>
        <v>597.75685812343352</v>
      </c>
      <c r="H11">
        <f ca="1">IF($C11-H$1&lt;År1,0,G10*(1-VLOOKUP($A11,[1]Hugst!$R$5:$W$9,MATCH(ROUNDUP((H$1)/10,0)*10,[1]Hugst!$R$4:$W$4,0))))</f>
        <v>598.28193784633402</v>
      </c>
      <c r="I11">
        <f ca="1">IF($C11-I$1&lt;År1,0,H10*(1-VLOOKUP($A11,[1]Hugst!$R$5:$W$9,MATCH(ROUNDUP((I$1)/10,0)*10,[1]Hugst!$R$4:$W$4,0))))</f>
        <v>598.80965616080709</v>
      </c>
      <c r="J11">
        <f ca="1">IF($C11-J$1&lt;År1,0,I10*(1-VLOOKUP($A11,[1]Hugst!$R$5:$W$9,MATCH(ROUNDUP((J$1)/10,0)*10,[1]Hugst!$R$4:$W$4,0))))</f>
        <v>599.34002632610714</v>
      </c>
      <c r="K11">
        <f ca="1">IF($C11-K$1&lt;År1,0,J10*(1-VLOOKUP($A11,[1]Hugst!$R$5:$W$9,MATCH(ROUNDUP((K$1)/10,0)*10,[1]Hugst!$R$4:$W$4,0))))</f>
        <v>599.87306166811823</v>
      </c>
      <c r="L11">
        <f ca="1">IF($C11-L$1&lt;År1,0,K10*(1-VLOOKUP($A11,[1]Hugst!$R$5:$W$9,MATCH(ROUNDUP((L$1)/10,0)*10,[1]Hugst!$R$4:$W$4,0))))</f>
        <v>600.40877557968702</v>
      </c>
      <c r="M11">
        <f ca="1">IF($C11-M$1&lt;År1,0,L10*(1-VLOOKUP($A11,[1]Hugst!$R$5:$W$9,MATCH(ROUNDUP((M$1)/10,0)*10,[1]Hugst!$R$4:$W$4,0))))</f>
        <v>600.94718152096243</v>
      </c>
      <c r="N11">
        <f ca="1">IF($C11-N$1&lt;År1,0,M10*(1-VLOOKUP($A11,[1]Hugst!$R$5:$W$9,MATCH(ROUNDUP((N$1)/10,0)*10,[1]Hugst!$R$4:$W$4,0))))</f>
        <v>601.48829301972796</v>
      </c>
      <c r="O11">
        <f ca="1">IF($C11-O$1&lt;År1,0,N10*(1-VLOOKUP($A11,[1]Hugst!$R$5:$W$9,MATCH(ROUNDUP((O$1)/10,0)*10,[1]Hugst!$R$4:$W$4,0))))</f>
        <v>602.03212367175934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55000000000000004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596.71456174648119</v>
      </c>
      <c r="G12">
        <f ca="1">IF($C12-G$1&lt;År1,0,F11*(1-VLOOKUP($A12,[1]Hugst!$R$5:$W$9,MATCH(ROUNDUP((G$1)/10,0)*10,[1]Hugst!$R$4:$W$4,0))))</f>
        <v>597.23440379914155</v>
      </c>
      <c r="H12">
        <f ca="1">IF($C12-H$1&lt;År1,0,G11*(1-VLOOKUP($A12,[1]Hugst!$R$5:$W$9,MATCH(ROUNDUP((H$1)/10,0)*10,[1]Hugst!$R$4:$W$4,0))))</f>
        <v>597.75685812343352</v>
      </c>
      <c r="I12">
        <f ca="1">IF($C12-I$1&lt;År1,0,H11*(1-VLOOKUP($A12,[1]Hugst!$R$5:$W$9,MATCH(ROUNDUP((I$1)/10,0)*10,[1]Hugst!$R$4:$W$4,0))))</f>
        <v>598.28193784633402</v>
      </c>
      <c r="J12">
        <f ca="1">IF($C12-J$1&lt;År1,0,I11*(1-VLOOKUP($A12,[1]Hugst!$R$5:$W$9,MATCH(ROUNDUP((J$1)/10,0)*10,[1]Hugst!$R$4:$W$4,0))))</f>
        <v>598.80965616080709</v>
      </c>
      <c r="K12">
        <f ca="1">IF($C12-K$1&lt;År1,0,J11*(1-VLOOKUP($A12,[1]Hugst!$R$5:$W$9,MATCH(ROUNDUP((K$1)/10,0)*10,[1]Hugst!$R$4:$W$4,0))))</f>
        <v>599.34002632610714</v>
      </c>
      <c r="L12">
        <f ca="1">IF($C12-L$1&lt;År1,0,K11*(1-VLOOKUP($A12,[1]Hugst!$R$5:$W$9,MATCH(ROUNDUP((L$1)/10,0)*10,[1]Hugst!$R$4:$W$4,0))))</f>
        <v>599.87306166811823</v>
      </c>
      <c r="M12">
        <f ca="1">IF($C12-M$1&lt;År1,0,L11*(1-VLOOKUP($A12,[1]Hugst!$R$5:$W$9,MATCH(ROUNDUP((M$1)/10,0)*10,[1]Hugst!$R$4:$W$4,0))))</f>
        <v>600.40877557968702</v>
      </c>
      <c r="N12">
        <f ca="1">IF($C12-N$1&lt;År1,0,M11*(1-VLOOKUP($A12,[1]Hugst!$R$5:$W$9,MATCH(ROUNDUP((N$1)/10,0)*10,[1]Hugst!$R$4:$W$4,0))))</f>
        <v>600.94718152096243</v>
      </c>
      <c r="O12">
        <f ca="1">IF($C12-O$1&lt;År1,0,N11*(1-VLOOKUP($A12,[1]Hugst!$R$5:$W$9,MATCH(ROUNDUP((O$1)/10,0)*10,[1]Hugst!$R$4:$W$4,0))))</f>
        <v>601.48829301972796</v>
      </c>
      <c r="P12">
        <f ca="1">IF($C12-P$1&lt;År1,0,O11*(1-VLOOKUP($A12,[1]Hugst!$R$5:$W$9,MATCH(ROUNDUP((P$1)/10,0)*10,[1]Hugst!$R$4:$W$4,0))))</f>
        <v>602.03212367175934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55000000000000004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374.22762193437535</v>
      </c>
      <c r="G13">
        <f ca="1">IF($C13-G$1&lt;År1,0,F12*(1-VLOOKUP($A13,[1]Hugst!$R$5:$W$9,MATCH(ROUNDUP((G$1)/10,0)*10,[1]Hugst!$R$4:$W$4,0))))</f>
        <v>596.71456174648119</v>
      </c>
      <c r="H13">
        <f ca="1">IF($C13-H$1&lt;År1,0,G12*(1-VLOOKUP($A13,[1]Hugst!$R$5:$W$9,MATCH(ROUNDUP((H$1)/10,0)*10,[1]Hugst!$R$4:$W$4,0))))</f>
        <v>597.23440379914155</v>
      </c>
      <c r="I13">
        <f ca="1">IF($C13-I$1&lt;År1,0,H12*(1-VLOOKUP($A13,[1]Hugst!$R$5:$W$9,MATCH(ROUNDUP((I$1)/10,0)*10,[1]Hugst!$R$4:$W$4,0))))</f>
        <v>597.75685812343352</v>
      </c>
      <c r="J13">
        <f ca="1">IF($C13-J$1&lt;År1,0,I12*(1-VLOOKUP($A13,[1]Hugst!$R$5:$W$9,MATCH(ROUNDUP((J$1)/10,0)*10,[1]Hugst!$R$4:$W$4,0))))</f>
        <v>598.28193784633402</v>
      </c>
      <c r="K13">
        <f ca="1">IF($C13-K$1&lt;År1,0,J12*(1-VLOOKUP($A13,[1]Hugst!$R$5:$W$9,MATCH(ROUNDUP((K$1)/10,0)*10,[1]Hugst!$R$4:$W$4,0))))</f>
        <v>598.80965616080709</v>
      </c>
      <c r="L13">
        <f ca="1">IF($C13-L$1&lt;År1,0,K12*(1-VLOOKUP($A13,[1]Hugst!$R$5:$W$9,MATCH(ROUNDUP((L$1)/10,0)*10,[1]Hugst!$R$4:$W$4,0))))</f>
        <v>599.34002632610714</v>
      </c>
      <c r="M13">
        <f ca="1">IF($C13-M$1&lt;År1,0,L12*(1-VLOOKUP($A13,[1]Hugst!$R$5:$W$9,MATCH(ROUNDUP((M$1)/10,0)*10,[1]Hugst!$R$4:$W$4,0))))</f>
        <v>599.87306166811823</v>
      </c>
      <c r="N13">
        <f ca="1">IF($C13-N$1&lt;År1,0,M12*(1-VLOOKUP($A13,[1]Hugst!$R$5:$W$9,MATCH(ROUNDUP((N$1)/10,0)*10,[1]Hugst!$R$4:$W$4,0))))</f>
        <v>600.40877557968702</v>
      </c>
      <c r="O13">
        <f ca="1">IF($C13-O$1&lt;År1,0,N12*(1-VLOOKUP($A13,[1]Hugst!$R$5:$W$9,MATCH(ROUNDUP((O$1)/10,0)*10,[1]Hugst!$R$4:$W$4,0))))</f>
        <v>600.94718152096243</v>
      </c>
      <c r="P13">
        <f ca="1">IF($C13-P$1&lt;År1,0,O12*(1-VLOOKUP($A13,[1]Hugst!$R$5:$W$9,MATCH(ROUNDUP((P$1)/10,0)*10,[1]Hugst!$R$4:$W$4,0))))</f>
        <v>601.48829301972796</v>
      </c>
      <c r="Q13">
        <f ca="1">IF($C13-Q$1&lt;År1,0,P12*(1-VLOOKUP($A13,[1]Hugst!$R$5:$W$9,MATCH(ROUNDUP((Q$1)/10,0)*10,[1]Hugst!$R$4:$W$4,0))))</f>
        <v>602.03212367175934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55000000000000004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373.71296530619003</v>
      </c>
      <c r="G14">
        <f ca="1">IF($C14-G$1&lt;År1,0,F13*(1-VLOOKUP($A14,[1]Hugst!$R$5:$W$9,MATCH(ROUNDUP((G$1)/10,0)*10,[1]Hugst!$R$4:$W$4,0))))</f>
        <v>374.22762193437535</v>
      </c>
      <c r="H14">
        <f ca="1">IF($C14-H$1&lt;År1,0,G13*(1-VLOOKUP($A14,[1]Hugst!$R$5:$W$9,MATCH(ROUNDUP((H$1)/10,0)*10,[1]Hugst!$R$4:$W$4,0))))</f>
        <v>596.71456174648119</v>
      </c>
      <c r="I14">
        <f ca="1">IF($C14-I$1&lt;År1,0,H13*(1-VLOOKUP($A14,[1]Hugst!$R$5:$W$9,MATCH(ROUNDUP((I$1)/10,0)*10,[1]Hugst!$R$4:$W$4,0))))</f>
        <v>597.23440379914155</v>
      </c>
      <c r="J14">
        <f ca="1">IF($C14-J$1&lt;År1,0,I13*(1-VLOOKUP($A14,[1]Hugst!$R$5:$W$9,MATCH(ROUNDUP((J$1)/10,0)*10,[1]Hugst!$R$4:$W$4,0))))</f>
        <v>597.75685812343352</v>
      </c>
      <c r="K14">
        <f ca="1">IF($C14-K$1&lt;År1,0,J13*(1-VLOOKUP($A14,[1]Hugst!$R$5:$W$9,MATCH(ROUNDUP((K$1)/10,0)*10,[1]Hugst!$R$4:$W$4,0))))</f>
        <v>598.28193784633402</v>
      </c>
      <c r="L14">
        <f ca="1">IF($C14-L$1&lt;År1,0,K13*(1-VLOOKUP($A14,[1]Hugst!$R$5:$W$9,MATCH(ROUNDUP((L$1)/10,0)*10,[1]Hugst!$R$4:$W$4,0))))</f>
        <v>598.80965616080709</v>
      </c>
      <c r="M14">
        <f ca="1">IF($C14-M$1&lt;År1,0,L13*(1-VLOOKUP($A14,[1]Hugst!$R$5:$W$9,MATCH(ROUNDUP((M$1)/10,0)*10,[1]Hugst!$R$4:$W$4,0))))</f>
        <v>599.34002632610714</v>
      </c>
      <c r="N14">
        <f ca="1">IF($C14-N$1&lt;År1,0,M13*(1-VLOOKUP($A14,[1]Hugst!$R$5:$W$9,MATCH(ROUNDUP((N$1)/10,0)*10,[1]Hugst!$R$4:$W$4,0))))</f>
        <v>599.87306166811823</v>
      </c>
      <c r="O14">
        <f ca="1">IF($C14-O$1&lt;År1,0,N13*(1-VLOOKUP($A14,[1]Hugst!$R$5:$W$9,MATCH(ROUNDUP((O$1)/10,0)*10,[1]Hugst!$R$4:$W$4,0))))</f>
        <v>600.40877557968702</v>
      </c>
      <c r="P14">
        <f ca="1">IF($C14-P$1&lt;År1,0,O13*(1-VLOOKUP($A14,[1]Hugst!$R$5:$W$9,MATCH(ROUNDUP((P$1)/10,0)*10,[1]Hugst!$R$4:$W$4,0))))</f>
        <v>600.94718152096243</v>
      </c>
      <c r="Q14">
        <f ca="1">IF($C14-Q$1&lt;År1,0,P13*(1-VLOOKUP($A14,[1]Hugst!$R$5:$W$9,MATCH(ROUNDUP((Q$1)/10,0)*10,[1]Hugst!$R$4:$W$4,0))))</f>
        <v>601.48829301972796</v>
      </c>
      <c r="R14">
        <f ca="1">IF($C14-R$1&lt;År1,0,Q13*(1-VLOOKUP($A14,[1]Hugst!$R$5:$W$9,MATCH(ROUNDUP((R$1)/10,0)*10,[1]Hugst!$R$4:$W$4,0))))</f>
        <v>602.03212367175934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55000000000000004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373.2008819611379</v>
      </c>
      <c r="G15">
        <f ca="1">IF($C15-G$1&lt;År1,0,F14*(1-VLOOKUP($A15,[1]Hugst!$R$5:$W$9,MATCH(ROUNDUP((G$1)/10,0)*10,[1]Hugst!$R$4:$W$4,0))))</f>
        <v>373.71296530619003</v>
      </c>
      <c r="H15">
        <f ca="1">IF($C15-H$1&lt;År1,0,G14*(1-VLOOKUP($A15,[1]Hugst!$R$5:$W$9,MATCH(ROUNDUP((H$1)/10,0)*10,[1]Hugst!$R$4:$W$4,0))))</f>
        <v>374.22762193437535</v>
      </c>
      <c r="I15">
        <f ca="1">IF($C15-I$1&lt;År1,0,H14*(1-VLOOKUP($A15,[1]Hugst!$R$5:$W$9,MATCH(ROUNDUP((I$1)/10,0)*10,[1]Hugst!$R$4:$W$4,0))))</f>
        <v>596.71456174648119</v>
      </c>
      <c r="J15">
        <f ca="1">IF($C15-J$1&lt;År1,0,I14*(1-VLOOKUP($A15,[1]Hugst!$R$5:$W$9,MATCH(ROUNDUP((J$1)/10,0)*10,[1]Hugst!$R$4:$W$4,0))))</f>
        <v>597.23440379914155</v>
      </c>
      <c r="K15">
        <f ca="1">IF($C15-K$1&lt;År1,0,J14*(1-VLOOKUP($A15,[1]Hugst!$R$5:$W$9,MATCH(ROUNDUP((K$1)/10,0)*10,[1]Hugst!$R$4:$W$4,0))))</f>
        <v>597.75685812343352</v>
      </c>
      <c r="L15">
        <f ca="1">IF($C15-L$1&lt;År1,0,K14*(1-VLOOKUP($A15,[1]Hugst!$R$5:$W$9,MATCH(ROUNDUP((L$1)/10,0)*10,[1]Hugst!$R$4:$W$4,0))))</f>
        <v>598.28193784633402</v>
      </c>
      <c r="M15">
        <f ca="1">IF($C15-M$1&lt;År1,0,L14*(1-VLOOKUP($A15,[1]Hugst!$R$5:$W$9,MATCH(ROUNDUP((M$1)/10,0)*10,[1]Hugst!$R$4:$W$4,0))))</f>
        <v>598.80965616080709</v>
      </c>
      <c r="N15">
        <f ca="1">IF($C15-N$1&lt;År1,0,M14*(1-VLOOKUP($A15,[1]Hugst!$R$5:$W$9,MATCH(ROUNDUP((N$1)/10,0)*10,[1]Hugst!$R$4:$W$4,0))))</f>
        <v>599.34002632610714</v>
      </c>
      <c r="O15">
        <f ca="1">IF($C15-O$1&lt;År1,0,N14*(1-VLOOKUP($A15,[1]Hugst!$R$5:$W$9,MATCH(ROUNDUP((O$1)/10,0)*10,[1]Hugst!$R$4:$W$4,0))))</f>
        <v>599.87306166811823</v>
      </c>
      <c r="P15">
        <f ca="1">IF($C15-P$1&lt;År1,0,O14*(1-VLOOKUP($A15,[1]Hugst!$R$5:$W$9,MATCH(ROUNDUP((P$1)/10,0)*10,[1]Hugst!$R$4:$W$4,0))))</f>
        <v>600.40877557968702</v>
      </c>
      <c r="Q15">
        <f ca="1">IF($C15-Q$1&lt;År1,0,P14*(1-VLOOKUP($A15,[1]Hugst!$R$5:$W$9,MATCH(ROUNDUP((Q$1)/10,0)*10,[1]Hugst!$R$4:$W$4,0))))</f>
        <v>600.94718152096243</v>
      </c>
      <c r="R15">
        <f ca="1">IF($C15-R$1&lt;År1,0,Q14*(1-VLOOKUP($A15,[1]Hugst!$R$5:$W$9,MATCH(ROUNDUP((R$1)/10,0)*10,[1]Hugst!$R$4:$W$4,0))))</f>
        <v>601.48829301972796</v>
      </c>
      <c r="S15">
        <f ca="1">IF($C15-S$1&lt;År1,0,R14*(1-VLOOKUP($A15,[1]Hugst!$R$5:$W$9,MATCH(ROUNDUP((S$1)/10,0)*10,[1]Hugst!$R$4:$W$4,0))))</f>
        <v>602.03212367175934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55000000000000004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372.69135903281409</v>
      </c>
      <c r="G16">
        <f ca="1">IF($C16-G$1&lt;År1,0,F15*(1-VLOOKUP($A16,[1]Hugst!$R$5:$W$9,MATCH(ROUNDUP((G$1)/10,0)*10,[1]Hugst!$R$4:$W$4,0))))</f>
        <v>373.2008819611379</v>
      </c>
      <c r="H16">
        <f ca="1">IF($C16-H$1&lt;År1,0,G15*(1-VLOOKUP($A16,[1]Hugst!$R$5:$W$9,MATCH(ROUNDUP((H$1)/10,0)*10,[1]Hugst!$R$4:$W$4,0))))</f>
        <v>373.71296530619003</v>
      </c>
      <c r="I16">
        <f ca="1">IF($C16-I$1&lt;År1,0,H15*(1-VLOOKUP($A16,[1]Hugst!$R$5:$W$9,MATCH(ROUNDUP((I$1)/10,0)*10,[1]Hugst!$R$4:$W$4,0))))</f>
        <v>374.22762193437535</v>
      </c>
      <c r="J16">
        <f ca="1">IF($C16-J$1&lt;År1,0,I15*(1-VLOOKUP($A16,[1]Hugst!$R$5:$W$9,MATCH(ROUNDUP((J$1)/10,0)*10,[1]Hugst!$R$4:$W$4,0))))</f>
        <v>596.71456174648119</v>
      </c>
      <c r="K16">
        <f ca="1">IF($C16-K$1&lt;År1,0,J15*(1-VLOOKUP($A16,[1]Hugst!$R$5:$W$9,MATCH(ROUNDUP((K$1)/10,0)*10,[1]Hugst!$R$4:$W$4,0))))</f>
        <v>597.23440379914155</v>
      </c>
      <c r="L16">
        <f ca="1">IF($C16-L$1&lt;År1,0,K15*(1-VLOOKUP($A16,[1]Hugst!$R$5:$W$9,MATCH(ROUNDUP((L$1)/10,0)*10,[1]Hugst!$R$4:$W$4,0))))</f>
        <v>597.75685812343352</v>
      </c>
      <c r="M16">
        <f ca="1">IF($C16-M$1&lt;År1,0,L15*(1-VLOOKUP($A16,[1]Hugst!$R$5:$W$9,MATCH(ROUNDUP((M$1)/10,0)*10,[1]Hugst!$R$4:$W$4,0))))</f>
        <v>598.28193784633402</v>
      </c>
      <c r="N16">
        <f ca="1">IF($C16-N$1&lt;År1,0,M15*(1-VLOOKUP($A16,[1]Hugst!$R$5:$W$9,MATCH(ROUNDUP((N$1)/10,0)*10,[1]Hugst!$R$4:$W$4,0))))</f>
        <v>598.80965616080709</v>
      </c>
      <c r="O16">
        <f ca="1">IF($C16-O$1&lt;År1,0,N15*(1-VLOOKUP($A16,[1]Hugst!$R$5:$W$9,MATCH(ROUNDUP((O$1)/10,0)*10,[1]Hugst!$R$4:$W$4,0))))</f>
        <v>599.34002632610714</v>
      </c>
      <c r="P16">
        <f ca="1">IF($C16-P$1&lt;År1,0,O15*(1-VLOOKUP($A16,[1]Hugst!$R$5:$W$9,MATCH(ROUNDUP((P$1)/10,0)*10,[1]Hugst!$R$4:$W$4,0))))</f>
        <v>599.87306166811823</v>
      </c>
      <c r="Q16">
        <f ca="1">IF($C16-Q$1&lt;År1,0,P15*(1-VLOOKUP($A16,[1]Hugst!$R$5:$W$9,MATCH(ROUNDUP((Q$1)/10,0)*10,[1]Hugst!$R$4:$W$4,0))))</f>
        <v>600.40877557968702</v>
      </c>
      <c r="R16">
        <f ca="1">IF($C16-R$1&lt;År1,0,Q15*(1-VLOOKUP($A16,[1]Hugst!$R$5:$W$9,MATCH(ROUNDUP((R$1)/10,0)*10,[1]Hugst!$R$4:$W$4,0))))</f>
        <v>600.94718152096243</v>
      </c>
      <c r="S16">
        <f ca="1">IF($C16-S$1&lt;År1,0,R15*(1-VLOOKUP($A16,[1]Hugst!$R$5:$W$9,MATCH(ROUNDUP((S$1)/10,0)*10,[1]Hugst!$R$4:$W$4,0))))</f>
        <v>601.48829301972796</v>
      </c>
      <c r="T16">
        <f ca="1">IF($C16-T$1&lt;År1,0,S15*(1-VLOOKUP($A16,[1]Hugst!$R$5:$W$9,MATCH(ROUNDUP((T$1)/10,0)*10,[1]Hugst!$R$4:$W$4,0))))</f>
        <v>602.03212367175934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55000000000000004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372.18438371913368</v>
      </c>
      <c r="G17">
        <f ca="1">IF($C17-G$1&lt;År1,0,F16*(1-VLOOKUP($A17,[1]Hugst!$R$5:$W$9,MATCH(ROUNDUP((G$1)/10,0)*10,[1]Hugst!$R$4:$W$4,0))))</f>
        <v>372.69135903281409</v>
      </c>
      <c r="H17">
        <f ca="1">IF($C17-H$1&lt;År1,0,G16*(1-VLOOKUP($A17,[1]Hugst!$R$5:$W$9,MATCH(ROUNDUP((H$1)/10,0)*10,[1]Hugst!$R$4:$W$4,0))))</f>
        <v>373.2008819611379</v>
      </c>
      <c r="I17">
        <f ca="1">IF($C17-I$1&lt;År1,0,H16*(1-VLOOKUP($A17,[1]Hugst!$R$5:$W$9,MATCH(ROUNDUP((I$1)/10,0)*10,[1]Hugst!$R$4:$W$4,0))))</f>
        <v>373.71296530619003</v>
      </c>
      <c r="J17">
        <f ca="1">IF($C17-J$1&lt;År1,0,I16*(1-VLOOKUP($A17,[1]Hugst!$R$5:$W$9,MATCH(ROUNDUP((J$1)/10,0)*10,[1]Hugst!$R$4:$W$4,0))))</f>
        <v>374.22762193437535</v>
      </c>
      <c r="K17">
        <f ca="1">IF($C17-K$1&lt;År1,0,J16*(1-VLOOKUP($A17,[1]Hugst!$R$5:$W$9,MATCH(ROUNDUP((K$1)/10,0)*10,[1]Hugst!$R$4:$W$4,0))))</f>
        <v>596.71456174648119</v>
      </c>
      <c r="L17">
        <f ca="1">IF($C17-L$1&lt;År1,0,K16*(1-VLOOKUP($A17,[1]Hugst!$R$5:$W$9,MATCH(ROUNDUP((L$1)/10,0)*10,[1]Hugst!$R$4:$W$4,0))))</f>
        <v>597.23440379914155</v>
      </c>
      <c r="M17">
        <f ca="1">IF($C17-M$1&lt;År1,0,L16*(1-VLOOKUP($A17,[1]Hugst!$R$5:$W$9,MATCH(ROUNDUP((M$1)/10,0)*10,[1]Hugst!$R$4:$W$4,0))))</f>
        <v>597.75685812343352</v>
      </c>
      <c r="N17">
        <f ca="1">IF($C17-N$1&lt;År1,0,M16*(1-VLOOKUP($A17,[1]Hugst!$R$5:$W$9,MATCH(ROUNDUP((N$1)/10,0)*10,[1]Hugst!$R$4:$W$4,0))))</f>
        <v>598.28193784633402</v>
      </c>
      <c r="O17">
        <f ca="1">IF($C17-O$1&lt;År1,0,N16*(1-VLOOKUP($A17,[1]Hugst!$R$5:$W$9,MATCH(ROUNDUP((O$1)/10,0)*10,[1]Hugst!$R$4:$W$4,0))))</f>
        <v>598.80965616080709</v>
      </c>
      <c r="P17">
        <f ca="1">IF($C17-P$1&lt;År1,0,O16*(1-VLOOKUP($A17,[1]Hugst!$R$5:$W$9,MATCH(ROUNDUP((P$1)/10,0)*10,[1]Hugst!$R$4:$W$4,0))))</f>
        <v>599.34002632610714</v>
      </c>
      <c r="Q17">
        <f ca="1">IF($C17-Q$1&lt;År1,0,P16*(1-VLOOKUP($A17,[1]Hugst!$R$5:$W$9,MATCH(ROUNDUP((Q$1)/10,0)*10,[1]Hugst!$R$4:$W$4,0))))</f>
        <v>599.87306166811823</v>
      </c>
      <c r="R17">
        <f ca="1">IF($C17-R$1&lt;År1,0,Q16*(1-VLOOKUP($A17,[1]Hugst!$R$5:$W$9,MATCH(ROUNDUP((R$1)/10,0)*10,[1]Hugst!$R$4:$W$4,0))))</f>
        <v>600.40877557968702</v>
      </c>
      <c r="S17">
        <f ca="1">IF($C17-S$1&lt;År1,0,R16*(1-VLOOKUP($A17,[1]Hugst!$R$5:$W$9,MATCH(ROUNDUP((S$1)/10,0)*10,[1]Hugst!$R$4:$W$4,0))))</f>
        <v>600.94718152096243</v>
      </c>
      <c r="T17">
        <f ca="1">IF($C17-T$1&lt;År1,0,S16*(1-VLOOKUP($A17,[1]Hugst!$R$5:$W$9,MATCH(ROUNDUP((T$1)/10,0)*10,[1]Hugst!$R$4:$W$4,0))))</f>
        <v>601.48829301972796</v>
      </c>
      <c r="U17">
        <f ca="1">IF($C17-U$1&lt;År1,0,T16*(1-VLOOKUP($A17,[1]Hugst!$R$5:$W$9,MATCH(ROUNDUP((U$1)/10,0)*10,[1]Hugst!$R$4:$W$4,0))))</f>
        <v>602.03212367175934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55000000000000004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371.679943282019</v>
      </c>
      <c r="G18">
        <f ca="1">IF($C18-G$1&lt;År1,0,F17*(1-VLOOKUP($A18,[1]Hugst!$R$5:$W$9,MATCH(ROUNDUP((G$1)/10,0)*10,[1]Hugst!$R$4:$W$4,0))))</f>
        <v>372.18438371913368</v>
      </c>
      <c r="H18">
        <f ca="1">IF($C18-H$1&lt;År1,0,G17*(1-VLOOKUP($A18,[1]Hugst!$R$5:$W$9,MATCH(ROUNDUP((H$1)/10,0)*10,[1]Hugst!$R$4:$W$4,0))))</f>
        <v>372.69135903281409</v>
      </c>
      <c r="I18">
        <f ca="1">IF($C18-I$1&lt;År1,0,H17*(1-VLOOKUP($A18,[1]Hugst!$R$5:$W$9,MATCH(ROUNDUP((I$1)/10,0)*10,[1]Hugst!$R$4:$W$4,0))))</f>
        <v>373.2008819611379</v>
      </c>
      <c r="J18">
        <f ca="1">IF($C18-J$1&lt;År1,0,I17*(1-VLOOKUP($A18,[1]Hugst!$R$5:$W$9,MATCH(ROUNDUP((J$1)/10,0)*10,[1]Hugst!$R$4:$W$4,0))))</f>
        <v>373.71296530619003</v>
      </c>
      <c r="K18">
        <f ca="1">IF($C18-K$1&lt;År1,0,J17*(1-VLOOKUP($A18,[1]Hugst!$R$5:$W$9,MATCH(ROUNDUP((K$1)/10,0)*10,[1]Hugst!$R$4:$W$4,0))))</f>
        <v>374.22762193437535</v>
      </c>
      <c r="L18">
        <f ca="1">IF($C18-L$1&lt;År1,0,K17*(1-VLOOKUP($A18,[1]Hugst!$R$5:$W$9,MATCH(ROUNDUP((L$1)/10,0)*10,[1]Hugst!$R$4:$W$4,0))))</f>
        <v>596.71456174648119</v>
      </c>
      <c r="M18">
        <f ca="1">IF($C18-M$1&lt;År1,0,L17*(1-VLOOKUP($A18,[1]Hugst!$R$5:$W$9,MATCH(ROUNDUP((M$1)/10,0)*10,[1]Hugst!$R$4:$W$4,0))))</f>
        <v>597.23440379914155</v>
      </c>
      <c r="N18">
        <f ca="1">IF($C18-N$1&lt;År1,0,M17*(1-VLOOKUP($A18,[1]Hugst!$R$5:$W$9,MATCH(ROUNDUP((N$1)/10,0)*10,[1]Hugst!$R$4:$W$4,0))))</f>
        <v>597.75685812343352</v>
      </c>
      <c r="O18">
        <f ca="1">IF($C18-O$1&lt;År1,0,N17*(1-VLOOKUP($A18,[1]Hugst!$R$5:$W$9,MATCH(ROUNDUP((O$1)/10,0)*10,[1]Hugst!$R$4:$W$4,0))))</f>
        <v>598.28193784633402</v>
      </c>
      <c r="P18">
        <f ca="1">IF($C18-P$1&lt;År1,0,O17*(1-VLOOKUP($A18,[1]Hugst!$R$5:$W$9,MATCH(ROUNDUP((P$1)/10,0)*10,[1]Hugst!$R$4:$W$4,0))))</f>
        <v>598.80965616080709</v>
      </c>
      <c r="Q18">
        <f ca="1">IF($C18-Q$1&lt;År1,0,P17*(1-VLOOKUP($A18,[1]Hugst!$R$5:$W$9,MATCH(ROUNDUP((Q$1)/10,0)*10,[1]Hugst!$R$4:$W$4,0))))</f>
        <v>599.34002632610714</v>
      </c>
      <c r="R18">
        <f ca="1">IF($C18-R$1&lt;År1,0,Q17*(1-VLOOKUP($A18,[1]Hugst!$R$5:$W$9,MATCH(ROUNDUP((R$1)/10,0)*10,[1]Hugst!$R$4:$W$4,0))))</f>
        <v>599.87306166811823</v>
      </c>
      <c r="S18">
        <f ca="1">IF($C18-S$1&lt;År1,0,R17*(1-VLOOKUP($A18,[1]Hugst!$R$5:$W$9,MATCH(ROUNDUP((S$1)/10,0)*10,[1]Hugst!$R$4:$W$4,0))))</f>
        <v>600.40877557968702</v>
      </c>
      <c r="T18">
        <f ca="1">IF($C18-T$1&lt;År1,0,S17*(1-VLOOKUP($A18,[1]Hugst!$R$5:$W$9,MATCH(ROUNDUP((T$1)/10,0)*10,[1]Hugst!$R$4:$W$4,0))))</f>
        <v>600.94718152096243</v>
      </c>
      <c r="U18">
        <f ca="1">IF($C18-U$1&lt;År1,0,T17*(1-VLOOKUP($A18,[1]Hugst!$R$5:$W$9,MATCH(ROUNDUP((U$1)/10,0)*10,[1]Hugst!$R$4:$W$4,0))))</f>
        <v>601.48829301972796</v>
      </c>
      <c r="V18">
        <f ca="1">IF($C18-V$1&lt;År1,0,U17*(1-VLOOKUP($A18,[1]Hugst!$R$5:$W$9,MATCH(ROUNDUP((V$1)/10,0)*10,[1]Hugst!$R$4:$W$4,0))))</f>
        <v>602.03212367175934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55000000000000004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371.17802504708953</v>
      </c>
      <c r="G19">
        <f ca="1">IF($C19-G$1&lt;År1,0,F18*(1-VLOOKUP($A19,[1]Hugst!$R$5:$W$9,MATCH(ROUNDUP((G$1)/10,0)*10,[1]Hugst!$R$4:$W$4,0))))</f>
        <v>371.679943282019</v>
      </c>
      <c r="H19">
        <f ca="1">IF($C19-H$1&lt;År1,0,G18*(1-VLOOKUP($A19,[1]Hugst!$R$5:$W$9,MATCH(ROUNDUP((H$1)/10,0)*10,[1]Hugst!$R$4:$W$4,0))))</f>
        <v>372.18438371913368</v>
      </c>
      <c r="I19">
        <f ca="1">IF($C19-I$1&lt;År1,0,H18*(1-VLOOKUP($A19,[1]Hugst!$R$5:$W$9,MATCH(ROUNDUP((I$1)/10,0)*10,[1]Hugst!$R$4:$W$4,0))))</f>
        <v>372.69135903281409</v>
      </c>
      <c r="J19">
        <f ca="1">IF($C19-J$1&lt;År1,0,I18*(1-VLOOKUP($A19,[1]Hugst!$R$5:$W$9,MATCH(ROUNDUP((J$1)/10,0)*10,[1]Hugst!$R$4:$W$4,0))))</f>
        <v>373.2008819611379</v>
      </c>
      <c r="K19">
        <f ca="1">IF($C19-K$1&lt;År1,0,J18*(1-VLOOKUP($A19,[1]Hugst!$R$5:$W$9,MATCH(ROUNDUP((K$1)/10,0)*10,[1]Hugst!$R$4:$W$4,0))))</f>
        <v>373.71296530619003</v>
      </c>
      <c r="L19">
        <f ca="1">IF($C19-L$1&lt;År1,0,K18*(1-VLOOKUP($A19,[1]Hugst!$R$5:$W$9,MATCH(ROUNDUP((L$1)/10,0)*10,[1]Hugst!$R$4:$W$4,0))))</f>
        <v>374.22762193437535</v>
      </c>
      <c r="M19">
        <f ca="1">IF($C19-M$1&lt;År1,0,L18*(1-VLOOKUP($A19,[1]Hugst!$R$5:$W$9,MATCH(ROUNDUP((M$1)/10,0)*10,[1]Hugst!$R$4:$W$4,0))))</f>
        <v>596.71456174648119</v>
      </c>
      <c r="N19">
        <f ca="1">IF($C19-N$1&lt;År1,0,M18*(1-VLOOKUP($A19,[1]Hugst!$R$5:$W$9,MATCH(ROUNDUP((N$1)/10,0)*10,[1]Hugst!$R$4:$W$4,0))))</f>
        <v>597.23440379914155</v>
      </c>
      <c r="O19">
        <f ca="1">IF($C19-O$1&lt;År1,0,N18*(1-VLOOKUP($A19,[1]Hugst!$R$5:$W$9,MATCH(ROUNDUP((O$1)/10,0)*10,[1]Hugst!$R$4:$W$4,0))))</f>
        <v>597.75685812343352</v>
      </c>
      <c r="P19">
        <f ca="1">IF($C19-P$1&lt;År1,0,O18*(1-VLOOKUP($A19,[1]Hugst!$R$5:$W$9,MATCH(ROUNDUP((P$1)/10,0)*10,[1]Hugst!$R$4:$W$4,0))))</f>
        <v>598.28193784633402</v>
      </c>
      <c r="Q19">
        <f ca="1">IF($C19-Q$1&lt;År1,0,P18*(1-VLOOKUP($A19,[1]Hugst!$R$5:$W$9,MATCH(ROUNDUP((Q$1)/10,0)*10,[1]Hugst!$R$4:$W$4,0))))</f>
        <v>598.80965616080709</v>
      </c>
      <c r="R19">
        <f ca="1">IF($C19-R$1&lt;År1,0,Q18*(1-VLOOKUP($A19,[1]Hugst!$R$5:$W$9,MATCH(ROUNDUP((R$1)/10,0)*10,[1]Hugst!$R$4:$W$4,0))))</f>
        <v>599.34002632610714</v>
      </c>
      <c r="S19">
        <f ca="1">IF($C19-S$1&lt;År1,0,R18*(1-VLOOKUP($A19,[1]Hugst!$R$5:$W$9,MATCH(ROUNDUP((S$1)/10,0)*10,[1]Hugst!$R$4:$W$4,0))))</f>
        <v>599.87306166811823</v>
      </c>
      <c r="T19">
        <f ca="1">IF($C19-T$1&lt;År1,0,S18*(1-VLOOKUP($A19,[1]Hugst!$R$5:$W$9,MATCH(ROUNDUP((T$1)/10,0)*10,[1]Hugst!$R$4:$W$4,0))))</f>
        <v>600.40877557968702</v>
      </c>
      <c r="U19">
        <f ca="1">IF($C19-U$1&lt;År1,0,T18*(1-VLOOKUP($A19,[1]Hugst!$R$5:$W$9,MATCH(ROUNDUP((U$1)/10,0)*10,[1]Hugst!$R$4:$W$4,0))))</f>
        <v>600.94718152096243</v>
      </c>
      <c r="V19">
        <f ca="1">IF($C19-V$1&lt;År1,0,U18*(1-VLOOKUP($A19,[1]Hugst!$R$5:$W$9,MATCH(ROUNDUP((V$1)/10,0)*10,[1]Hugst!$R$4:$W$4,0))))</f>
        <v>601.48829301972796</v>
      </c>
      <c r="W19">
        <f ca="1">IF($C19-W$1&lt;År1,0,V18*(1-VLOOKUP($A19,[1]Hugst!$R$5:$W$9,MATCH(ROUNDUP((W$1)/10,0)*10,[1]Hugst!$R$4:$W$4,0))))</f>
        <v>602.03212367175934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55000000000000004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370.67861640333882</v>
      </c>
      <c r="G20">
        <f ca="1">IF($C20-G$1&lt;År1,0,F19*(1-VLOOKUP($A20,[1]Hugst!$R$5:$W$9,MATCH(ROUNDUP((G$1)/10,0)*10,[1]Hugst!$R$4:$W$4,0))))</f>
        <v>371.17802504708953</v>
      </c>
      <c r="H20">
        <f ca="1">IF($C20-H$1&lt;År1,0,G19*(1-VLOOKUP($A20,[1]Hugst!$R$5:$W$9,MATCH(ROUNDUP((H$1)/10,0)*10,[1]Hugst!$R$4:$W$4,0))))</f>
        <v>371.679943282019</v>
      </c>
      <c r="I20">
        <f ca="1">IF($C20-I$1&lt;År1,0,H19*(1-VLOOKUP($A20,[1]Hugst!$R$5:$W$9,MATCH(ROUNDUP((I$1)/10,0)*10,[1]Hugst!$R$4:$W$4,0))))</f>
        <v>372.18438371913368</v>
      </c>
      <c r="J20">
        <f ca="1">IF($C20-J$1&lt;År1,0,I19*(1-VLOOKUP($A20,[1]Hugst!$R$5:$W$9,MATCH(ROUNDUP((J$1)/10,0)*10,[1]Hugst!$R$4:$W$4,0))))</f>
        <v>372.69135903281409</v>
      </c>
      <c r="K20">
        <f ca="1">IF($C20-K$1&lt;År1,0,J19*(1-VLOOKUP($A20,[1]Hugst!$R$5:$W$9,MATCH(ROUNDUP((K$1)/10,0)*10,[1]Hugst!$R$4:$W$4,0))))</f>
        <v>373.2008819611379</v>
      </c>
      <c r="L20">
        <f ca="1">IF($C20-L$1&lt;År1,0,K19*(1-VLOOKUP($A20,[1]Hugst!$R$5:$W$9,MATCH(ROUNDUP((L$1)/10,0)*10,[1]Hugst!$R$4:$W$4,0))))</f>
        <v>373.71296530619003</v>
      </c>
      <c r="M20">
        <f ca="1">IF($C20-M$1&lt;År1,0,L19*(1-VLOOKUP($A20,[1]Hugst!$R$5:$W$9,MATCH(ROUNDUP((M$1)/10,0)*10,[1]Hugst!$R$4:$W$4,0))))</f>
        <v>374.22762193437535</v>
      </c>
      <c r="N20">
        <f ca="1">IF($C20-N$1&lt;År1,0,M19*(1-VLOOKUP($A20,[1]Hugst!$R$5:$W$9,MATCH(ROUNDUP((N$1)/10,0)*10,[1]Hugst!$R$4:$W$4,0))))</f>
        <v>596.71456174648119</v>
      </c>
      <c r="O20">
        <f ca="1">IF($C20-O$1&lt;År1,0,N19*(1-VLOOKUP($A20,[1]Hugst!$R$5:$W$9,MATCH(ROUNDUP((O$1)/10,0)*10,[1]Hugst!$R$4:$W$4,0))))</f>
        <v>597.23440379914155</v>
      </c>
      <c r="P20">
        <f ca="1">IF($C20-P$1&lt;År1,0,O19*(1-VLOOKUP($A20,[1]Hugst!$R$5:$W$9,MATCH(ROUNDUP((P$1)/10,0)*10,[1]Hugst!$R$4:$W$4,0))))</f>
        <v>597.75685812343352</v>
      </c>
      <c r="Q20">
        <f ca="1">IF($C20-Q$1&lt;År1,0,P19*(1-VLOOKUP($A20,[1]Hugst!$R$5:$W$9,MATCH(ROUNDUP((Q$1)/10,0)*10,[1]Hugst!$R$4:$W$4,0))))</f>
        <v>598.28193784633402</v>
      </c>
      <c r="R20">
        <f ca="1">IF($C20-R$1&lt;År1,0,Q19*(1-VLOOKUP($A20,[1]Hugst!$R$5:$W$9,MATCH(ROUNDUP((R$1)/10,0)*10,[1]Hugst!$R$4:$W$4,0))))</f>
        <v>598.80965616080709</v>
      </c>
      <c r="S20">
        <f ca="1">IF($C20-S$1&lt;År1,0,R19*(1-VLOOKUP($A20,[1]Hugst!$R$5:$W$9,MATCH(ROUNDUP((S$1)/10,0)*10,[1]Hugst!$R$4:$W$4,0))))</f>
        <v>599.34002632610714</v>
      </c>
      <c r="T20">
        <f ca="1">IF($C20-T$1&lt;År1,0,S19*(1-VLOOKUP($A20,[1]Hugst!$R$5:$W$9,MATCH(ROUNDUP((T$1)/10,0)*10,[1]Hugst!$R$4:$W$4,0))))</f>
        <v>599.87306166811823</v>
      </c>
      <c r="U20">
        <f ca="1">IF($C20-U$1&lt;År1,0,T19*(1-VLOOKUP($A20,[1]Hugst!$R$5:$W$9,MATCH(ROUNDUP((U$1)/10,0)*10,[1]Hugst!$R$4:$W$4,0))))</f>
        <v>600.40877557968702</v>
      </c>
      <c r="V20">
        <f ca="1">IF($C20-V$1&lt;År1,0,U19*(1-VLOOKUP($A20,[1]Hugst!$R$5:$W$9,MATCH(ROUNDUP((V$1)/10,0)*10,[1]Hugst!$R$4:$W$4,0))))</f>
        <v>600.94718152096243</v>
      </c>
      <c r="W20">
        <f ca="1">IF($C20-W$1&lt;År1,0,V19*(1-VLOOKUP($A20,[1]Hugst!$R$5:$W$9,MATCH(ROUNDUP((W$1)/10,0)*10,[1]Hugst!$R$4:$W$4,0))))</f>
        <v>601.48829301972796</v>
      </c>
      <c r="X20">
        <f ca="1">IF($C20-X$1&lt;År1,0,W19*(1-VLOOKUP($A20,[1]Hugst!$R$5:$W$9,MATCH(ROUNDUP((X$1)/10,0)*10,[1]Hugst!$R$4:$W$4,0))))</f>
        <v>602.03212367175934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55000000000000004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370.18170480279792</v>
      </c>
      <c r="G21">
        <f ca="1">IF($C21-G$1&lt;År1,0,F20*(1-VLOOKUP($A21,[1]Hugst!$R$5:$W$9,MATCH(ROUNDUP((G$1)/10,0)*10,[1]Hugst!$R$4:$W$4,0))))</f>
        <v>370.67861640333882</v>
      </c>
      <c r="H21">
        <f ca="1">IF($C21-H$1&lt;År1,0,G20*(1-VLOOKUP($A21,[1]Hugst!$R$5:$W$9,MATCH(ROUNDUP((H$1)/10,0)*10,[1]Hugst!$R$4:$W$4,0))))</f>
        <v>371.17802504708953</v>
      </c>
      <c r="I21">
        <f ca="1">IF($C21-I$1&lt;År1,0,H20*(1-VLOOKUP($A21,[1]Hugst!$R$5:$W$9,MATCH(ROUNDUP((I$1)/10,0)*10,[1]Hugst!$R$4:$W$4,0))))</f>
        <v>371.679943282019</v>
      </c>
      <c r="J21">
        <f ca="1">IF($C21-J$1&lt;År1,0,I20*(1-VLOOKUP($A21,[1]Hugst!$R$5:$W$9,MATCH(ROUNDUP((J$1)/10,0)*10,[1]Hugst!$R$4:$W$4,0))))</f>
        <v>372.18438371913368</v>
      </c>
      <c r="K21">
        <f ca="1">IF($C21-K$1&lt;År1,0,J20*(1-VLOOKUP($A21,[1]Hugst!$R$5:$W$9,MATCH(ROUNDUP((K$1)/10,0)*10,[1]Hugst!$R$4:$W$4,0))))</f>
        <v>372.69135903281409</v>
      </c>
      <c r="L21">
        <f ca="1">IF($C21-L$1&lt;År1,0,K20*(1-VLOOKUP($A21,[1]Hugst!$R$5:$W$9,MATCH(ROUNDUP((L$1)/10,0)*10,[1]Hugst!$R$4:$W$4,0))))</f>
        <v>373.2008819611379</v>
      </c>
      <c r="M21">
        <f ca="1">IF($C21-M$1&lt;År1,0,L20*(1-VLOOKUP($A21,[1]Hugst!$R$5:$W$9,MATCH(ROUNDUP((M$1)/10,0)*10,[1]Hugst!$R$4:$W$4,0))))</f>
        <v>373.71296530619003</v>
      </c>
      <c r="N21">
        <f ca="1">IF($C21-N$1&lt;År1,0,M20*(1-VLOOKUP($A21,[1]Hugst!$R$5:$W$9,MATCH(ROUNDUP((N$1)/10,0)*10,[1]Hugst!$R$4:$W$4,0))))</f>
        <v>374.22762193437535</v>
      </c>
      <c r="O21">
        <f ca="1">IF($C21-O$1&lt;År1,0,N20*(1-VLOOKUP($A21,[1]Hugst!$R$5:$W$9,MATCH(ROUNDUP((O$1)/10,0)*10,[1]Hugst!$R$4:$W$4,0))))</f>
        <v>596.71456174648119</v>
      </c>
      <c r="P21">
        <f ca="1">IF($C21-P$1&lt;År1,0,O20*(1-VLOOKUP($A21,[1]Hugst!$R$5:$W$9,MATCH(ROUNDUP((P$1)/10,0)*10,[1]Hugst!$R$4:$W$4,0))))</f>
        <v>597.23440379914155</v>
      </c>
      <c r="Q21">
        <f ca="1">IF($C21-Q$1&lt;År1,0,P20*(1-VLOOKUP($A21,[1]Hugst!$R$5:$W$9,MATCH(ROUNDUP((Q$1)/10,0)*10,[1]Hugst!$R$4:$W$4,0))))</f>
        <v>597.75685812343352</v>
      </c>
      <c r="R21">
        <f ca="1">IF($C21-R$1&lt;År1,0,Q20*(1-VLOOKUP($A21,[1]Hugst!$R$5:$W$9,MATCH(ROUNDUP((R$1)/10,0)*10,[1]Hugst!$R$4:$W$4,0))))</f>
        <v>598.28193784633402</v>
      </c>
      <c r="S21">
        <f ca="1">IF($C21-S$1&lt;År1,0,R20*(1-VLOOKUP($A21,[1]Hugst!$R$5:$W$9,MATCH(ROUNDUP((S$1)/10,0)*10,[1]Hugst!$R$4:$W$4,0))))</f>
        <v>598.80965616080709</v>
      </c>
      <c r="T21">
        <f ca="1">IF($C21-T$1&lt;År1,0,S20*(1-VLOOKUP($A21,[1]Hugst!$R$5:$W$9,MATCH(ROUNDUP((T$1)/10,0)*10,[1]Hugst!$R$4:$W$4,0))))</f>
        <v>599.34002632610714</v>
      </c>
      <c r="U21">
        <f ca="1">IF($C21-U$1&lt;År1,0,T20*(1-VLOOKUP($A21,[1]Hugst!$R$5:$W$9,MATCH(ROUNDUP((U$1)/10,0)*10,[1]Hugst!$R$4:$W$4,0))))</f>
        <v>599.87306166811823</v>
      </c>
      <c r="V21">
        <f ca="1">IF($C21-V$1&lt;År1,0,U20*(1-VLOOKUP($A21,[1]Hugst!$R$5:$W$9,MATCH(ROUNDUP((V$1)/10,0)*10,[1]Hugst!$R$4:$W$4,0))))</f>
        <v>600.40877557968702</v>
      </c>
      <c r="W21">
        <f ca="1">IF($C21-W$1&lt;År1,0,V20*(1-VLOOKUP($A21,[1]Hugst!$R$5:$W$9,MATCH(ROUNDUP((W$1)/10,0)*10,[1]Hugst!$R$4:$W$4,0))))</f>
        <v>600.94718152096243</v>
      </c>
      <c r="X21">
        <f ca="1">IF($C21-X$1&lt;År1,0,W20*(1-VLOOKUP($A21,[1]Hugst!$R$5:$W$9,MATCH(ROUNDUP((X$1)/10,0)*10,[1]Hugst!$R$4:$W$4,0))))</f>
        <v>601.48829301972796</v>
      </c>
      <c r="Y21">
        <f ca="1">IF($C21-Y$1&lt;År1,0,X20*(1-VLOOKUP($A21,[1]Hugst!$R$5:$W$9,MATCH(ROUNDUP((Y$1)/10,0)*10,[1]Hugst!$R$4:$W$4,0))))</f>
        <v>602.03212367175934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55000000000000004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369.68727776026782</v>
      </c>
      <c r="G22">
        <f ca="1">IF($C22-G$1&lt;År1,0,F21*(1-VLOOKUP($A22,[1]Hugst!$R$5:$W$9,MATCH(ROUNDUP((G$1)/10,0)*10,[1]Hugst!$R$4:$W$4,0))))</f>
        <v>370.18170480279792</v>
      </c>
      <c r="H22">
        <f ca="1">IF($C22-H$1&lt;År1,0,G21*(1-VLOOKUP($A22,[1]Hugst!$R$5:$W$9,MATCH(ROUNDUP((H$1)/10,0)*10,[1]Hugst!$R$4:$W$4,0))))</f>
        <v>370.67861640333882</v>
      </c>
      <c r="I22">
        <f ca="1">IF($C22-I$1&lt;År1,0,H21*(1-VLOOKUP($A22,[1]Hugst!$R$5:$W$9,MATCH(ROUNDUP((I$1)/10,0)*10,[1]Hugst!$R$4:$W$4,0))))</f>
        <v>371.17802504708953</v>
      </c>
      <c r="J22">
        <f ca="1">IF($C22-J$1&lt;År1,0,I21*(1-VLOOKUP($A22,[1]Hugst!$R$5:$W$9,MATCH(ROUNDUP((J$1)/10,0)*10,[1]Hugst!$R$4:$W$4,0))))</f>
        <v>371.679943282019</v>
      </c>
      <c r="K22">
        <f ca="1">IF($C22-K$1&lt;År1,0,J21*(1-VLOOKUP($A22,[1]Hugst!$R$5:$W$9,MATCH(ROUNDUP((K$1)/10,0)*10,[1]Hugst!$R$4:$W$4,0))))</f>
        <v>372.18438371913368</v>
      </c>
      <c r="L22">
        <f ca="1">IF($C22-L$1&lt;År1,0,K21*(1-VLOOKUP($A22,[1]Hugst!$R$5:$W$9,MATCH(ROUNDUP((L$1)/10,0)*10,[1]Hugst!$R$4:$W$4,0))))</f>
        <v>372.69135903281409</v>
      </c>
      <c r="M22">
        <f ca="1">IF($C22-M$1&lt;År1,0,L21*(1-VLOOKUP($A22,[1]Hugst!$R$5:$W$9,MATCH(ROUNDUP((M$1)/10,0)*10,[1]Hugst!$R$4:$W$4,0))))</f>
        <v>373.2008819611379</v>
      </c>
      <c r="N22">
        <f ca="1">IF($C22-N$1&lt;År1,0,M21*(1-VLOOKUP($A22,[1]Hugst!$R$5:$W$9,MATCH(ROUNDUP((N$1)/10,0)*10,[1]Hugst!$R$4:$W$4,0))))</f>
        <v>373.71296530619003</v>
      </c>
      <c r="O22">
        <f ca="1">IF($C22-O$1&lt;År1,0,N21*(1-VLOOKUP($A22,[1]Hugst!$R$5:$W$9,MATCH(ROUNDUP((O$1)/10,0)*10,[1]Hugst!$R$4:$W$4,0))))</f>
        <v>374.22762193437535</v>
      </c>
      <c r="P22">
        <f ca="1">IF($C22-P$1&lt;År1,0,O21*(1-VLOOKUP($A22,[1]Hugst!$R$5:$W$9,MATCH(ROUNDUP((P$1)/10,0)*10,[1]Hugst!$R$4:$W$4,0))))</f>
        <v>596.71456174648119</v>
      </c>
      <c r="Q22">
        <f ca="1">IF($C22-Q$1&lt;År1,0,P21*(1-VLOOKUP($A22,[1]Hugst!$R$5:$W$9,MATCH(ROUNDUP((Q$1)/10,0)*10,[1]Hugst!$R$4:$W$4,0))))</f>
        <v>597.23440379914155</v>
      </c>
      <c r="R22">
        <f ca="1">IF($C22-R$1&lt;År1,0,Q21*(1-VLOOKUP($A22,[1]Hugst!$R$5:$W$9,MATCH(ROUNDUP((R$1)/10,0)*10,[1]Hugst!$R$4:$W$4,0))))</f>
        <v>597.75685812343352</v>
      </c>
      <c r="S22">
        <f ca="1">IF($C22-S$1&lt;År1,0,R21*(1-VLOOKUP($A22,[1]Hugst!$R$5:$W$9,MATCH(ROUNDUP((S$1)/10,0)*10,[1]Hugst!$R$4:$W$4,0))))</f>
        <v>598.28193784633402</v>
      </c>
      <c r="T22">
        <f ca="1">IF($C22-T$1&lt;År1,0,S21*(1-VLOOKUP($A22,[1]Hugst!$R$5:$W$9,MATCH(ROUNDUP((T$1)/10,0)*10,[1]Hugst!$R$4:$W$4,0))))</f>
        <v>598.80965616080709</v>
      </c>
      <c r="U22">
        <f ca="1">IF($C22-U$1&lt;År1,0,T21*(1-VLOOKUP($A22,[1]Hugst!$R$5:$W$9,MATCH(ROUNDUP((U$1)/10,0)*10,[1]Hugst!$R$4:$W$4,0))))</f>
        <v>599.34002632610714</v>
      </c>
      <c r="V22">
        <f ca="1">IF($C22-V$1&lt;År1,0,U21*(1-VLOOKUP($A22,[1]Hugst!$R$5:$W$9,MATCH(ROUNDUP((V$1)/10,0)*10,[1]Hugst!$R$4:$W$4,0))))</f>
        <v>599.87306166811823</v>
      </c>
      <c r="W22">
        <f ca="1">IF($C22-W$1&lt;År1,0,V21*(1-VLOOKUP($A22,[1]Hugst!$R$5:$W$9,MATCH(ROUNDUP((W$1)/10,0)*10,[1]Hugst!$R$4:$W$4,0))))</f>
        <v>600.40877557968702</v>
      </c>
      <c r="X22">
        <f ca="1">IF($C22-X$1&lt;År1,0,W21*(1-VLOOKUP($A22,[1]Hugst!$R$5:$W$9,MATCH(ROUNDUP((X$1)/10,0)*10,[1]Hugst!$R$4:$W$4,0))))</f>
        <v>600.94718152096243</v>
      </c>
      <c r="Y22">
        <f ca="1">IF($C22-Y$1&lt;År1,0,X21*(1-VLOOKUP($A22,[1]Hugst!$R$5:$W$9,MATCH(ROUNDUP((Y$1)/10,0)*10,[1]Hugst!$R$4:$W$4,0))))</f>
        <v>601.48829301972796</v>
      </c>
      <c r="Z22">
        <f ca="1">IF($C22-Z$1&lt;År1,0,Y21*(1-VLOOKUP($A22,[1]Hugst!$R$5:$W$9,MATCH(ROUNDUP((Z$1)/10,0)*10,[1]Hugst!$R$4:$W$4,0))))</f>
        <v>602.03212367175934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55000000000000004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369.19532285294991</v>
      </c>
      <c r="G23">
        <f ca="1">IF($C23-G$1&lt;År1,0,F22*(1-VLOOKUP($A23,[1]Hugst!$R$5:$W$9,MATCH(ROUNDUP((G$1)/10,0)*10,[1]Hugst!$R$4:$W$4,0))))</f>
        <v>369.68727776026782</v>
      </c>
      <c r="H23">
        <f ca="1">IF($C23-H$1&lt;År1,0,G22*(1-VLOOKUP($A23,[1]Hugst!$R$5:$W$9,MATCH(ROUNDUP((H$1)/10,0)*10,[1]Hugst!$R$4:$W$4,0))))</f>
        <v>370.18170480279792</v>
      </c>
      <c r="I23">
        <f ca="1">IF($C23-I$1&lt;År1,0,H22*(1-VLOOKUP($A23,[1]Hugst!$R$5:$W$9,MATCH(ROUNDUP((I$1)/10,0)*10,[1]Hugst!$R$4:$W$4,0))))</f>
        <v>370.67861640333882</v>
      </c>
      <c r="J23">
        <f ca="1">IF($C23-J$1&lt;År1,0,I22*(1-VLOOKUP($A23,[1]Hugst!$R$5:$W$9,MATCH(ROUNDUP((J$1)/10,0)*10,[1]Hugst!$R$4:$W$4,0))))</f>
        <v>371.17802504708953</v>
      </c>
      <c r="K23">
        <f ca="1">IF($C23-K$1&lt;År1,0,J22*(1-VLOOKUP($A23,[1]Hugst!$R$5:$W$9,MATCH(ROUNDUP((K$1)/10,0)*10,[1]Hugst!$R$4:$W$4,0))))</f>
        <v>371.679943282019</v>
      </c>
      <c r="L23">
        <f ca="1">IF($C23-L$1&lt;År1,0,K22*(1-VLOOKUP($A23,[1]Hugst!$R$5:$W$9,MATCH(ROUNDUP((L$1)/10,0)*10,[1]Hugst!$R$4:$W$4,0))))</f>
        <v>372.18438371913368</v>
      </c>
      <c r="M23">
        <f ca="1">IF($C23-M$1&lt;År1,0,L22*(1-VLOOKUP($A23,[1]Hugst!$R$5:$W$9,MATCH(ROUNDUP((M$1)/10,0)*10,[1]Hugst!$R$4:$W$4,0))))</f>
        <v>372.69135903281409</v>
      </c>
      <c r="N23">
        <f ca="1">IF($C23-N$1&lt;År1,0,M22*(1-VLOOKUP($A23,[1]Hugst!$R$5:$W$9,MATCH(ROUNDUP((N$1)/10,0)*10,[1]Hugst!$R$4:$W$4,0))))</f>
        <v>373.2008819611379</v>
      </c>
      <c r="O23">
        <f ca="1">IF($C23-O$1&lt;År1,0,N22*(1-VLOOKUP($A23,[1]Hugst!$R$5:$W$9,MATCH(ROUNDUP((O$1)/10,0)*10,[1]Hugst!$R$4:$W$4,0))))</f>
        <v>373.71296530619003</v>
      </c>
      <c r="P23">
        <f ca="1">IF($C23-P$1&lt;År1,0,O22*(1-VLOOKUP($A23,[1]Hugst!$R$5:$W$9,MATCH(ROUNDUP((P$1)/10,0)*10,[1]Hugst!$R$4:$W$4,0))))</f>
        <v>374.22762193437535</v>
      </c>
      <c r="Q23">
        <f ca="1">IF($C23-Q$1&lt;År1,0,P22*(1-VLOOKUP($A23,[1]Hugst!$R$5:$W$9,MATCH(ROUNDUP((Q$1)/10,0)*10,[1]Hugst!$R$4:$W$4,0))))</f>
        <v>596.71456174648119</v>
      </c>
      <c r="R23">
        <f ca="1">IF($C23-R$1&lt;År1,0,Q22*(1-VLOOKUP($A23,[1]Hugst!$R$5:$W$9,MATCH(ROUNDUP((R$1)/10,0)*10,[1]Hugst!$R$4:$W$4,0))))</f>
        <v>597.23440379914155</v>
      </c>
      <c r="S23">
        <f ca="1">IF($C23-S$1&lt;År1,0,R22*(1-VLOOKUP($A23,[1]Hugst!$R$5:$W$9,MATCH(ROUNDUP((S$1)/10,0)*10,[1]Hugst!$R$4:$W$4,0))))</f>
        <v>597.75685812343352</v>
      </c>
      <c r="T23">
        <f ca="1">IF($C23-T$1&lt;År1,0,S22*(1-VLOOKUP($A23,[1]Hugst!$R$5:$W$9,MATCH(ROUNDUP((T$1)/10,0)*10,[1]Hugst!$R$4:$W$4,0))))</f>
        <v>598.28193784633402</v>
      </c>
      <c r="U23">
        <f ca="1">IF($C23-U$1&lt;År1,0,T22*(1-VLOOKUP($A23,[1]Hugst!$R$5:$W$9,MATCH(ROUNDUP((U$1)/10,0)*10,[1]Hugst!$R$4:$W$4,0))))</f>
        <v>598.80965616080709</v>
      </c>
      <c r="V23">
        <f ca="1">IF($C23-V$1&lt;År1,0,U22*(1-VLOOKUP($A23,[1]Hugst!$R$5:$W$9,MATCH(ROUNDUP((V$1)/10,0)*10,[1]Hugst!$R$4:$W$4,0))))</f>
        <v>599.34002632610714</v>
      </c>
      <c r="W23">
        <f ca="1">IF($C23-W$1&lt;År1,0,V22*(1-VLOOKUP($A23,[1]Hugst!$R$5:$W$9,MATCH(ROUNDUP((W$1)/10,0)*10,[1]Hugst!$R$4:$W$4,0))))</f>
        <v>599.87306166811823</v>
      </c>
      <c r="X23">
        <f ca="1">IF($C23-X$1&lt;År1,0,W22*(1-VLOOKUP($A23,[1]Hugst!$R$5:$W$9,MATCH(ROUNDUP((X$1)/10,0)*10,[1]Hugst!$R$4:$W$4,0))))</f>
        <v>600.40877557968702</v>
      </c>
      <c r="Y23">
        <f ca="1">IF($C23-Y$1&lt;År1,0,X22*(1-VLOOKUP($A23,[1]Hugst!$R$5:$W$9,MATCH(ROUNDUP((Y$1)/10,0)*10,[1]Hugst!$R$4:$W$4,0))))</f>
        <v>600.94718152096243</v>
      </c>
      <c r="Z23">
        <f ca="1">IF($C23-Z$1&lt;År1,0,Y22*(1-VLOOKUP($A23,[1]Hugst!$R$5:$W$9,MATCH(ROUNDUP((Z$1)/10,0)*10,[1]Hugst!$R$4:$W$4,0))))</f>
        <v>601.48829301972796</v>
      </c>
      <c r="AA23">
        <f ca="1">IF($C23-AA$1&lt;År1,0,Z22*(1-VLOOKUP($A23,[1]Hugst!$R$5:$W$9,MATCH(ROUNDUP((AA$1)/10,0)*10,[1]Hugst!$R$4:$W$4,0))))</f>
        <v>602.03212367175934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55000000000000004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368.70582772016525</v>
      </c>
      <c r="G24">
        <f ca="1">IF($C24-G$1&lt;År1,0,F23*(1-VLOOKUP($A24,[1]Hugst!$R$5:$W$9,MATCH(ROUNDUP((G$1)/10,0)*10,[1]Hugst!$R$4:$W$4,0))))</f>
        <v>369.19532285294991</v>
      </c>
      <c r="H24">
        <f ca="1">IF($C24-H$1&lt;År1,0,G23*(1-VLOOKUP($A24,[1]Hugst!$R$5:$W$9,MATCH(ROUNDUP((H$1)/10,0)*10,[1]Hugst!$R$4:$W$4,0))))</f>
        <v>369.68727776026782</v>
      </c>
      <c r="I24">
        <f ca="1">IF($C24-I$1&lt;År1,0,H23*(1-VLOOKUP($A24,[1]Hugst!$R$5:$W$9,MATCH(ROUNDUP((I$1)/10,0)*10,[1]Hugst!$R$4:$W$4,0))))</f>
        <v>370.18170480279792</v>
      </c>
      <c r="J24">
        <f ca="1">IF($C24-J$1&lt;År1,0,I23*(1-VLOOKUP($A24,[1]Hugst!$R$5:$W$9,MATCH(ROUNDUP((J$1)/10,0)*10,[1]Hugst!$R$4:$W$4,0))))</f>
        <v>370.67861640333882</v>
      </c>
      <c r="K24">
        <f ca="1">IF($C24-K$1&lt;År1,0,J23*(1-VLOOKUP($A24,[1]Hugst!$R$5:$W$9,MATCH(ROUNDUP((K$1)/10,0)*10,[1]Hugst!$R$4:$W$4,0))))</f>
        <v>371.17802504708953</v>
      </c>
      <c r="L24">
        <f ca="1">IF($C24-L$1&lt;År1,0,K23*(1-VLOOKUP($A24,[1]Hugst!$R$5:$W$9,MATCH(ROUNDUP((L$1)/10,0)*10,[1]Hugst!$R$4:$W$4,0))))</f>
        <v>371.679943282019</v>
      </c>
      <c r="M24">
        <f ca="1">IF($C24-M$1&lt;År1,0,L23*(1-VLOOKUP($A24,[1]Hugst!$R$5:$W$9,MATCH(ROUNDUP((M$1)/10,0)*10,[1]Hugst!$R$4:$W$4,0))))</f>
        <v>372.18438371913368</v>
      </c>
      <c r="N24">
        <f ca="1">IF($C24-N$1&lt;År1,0,M23*(1-VLOOKUP($A24,[1]Hugst!$R$5:$W$9,MATCH(ROUNDUP((N$1)/10,0)*10,[1]Hugst!$R$4:$W$4,0))))</f>
        <v>372.69135903281409</v>
      </c>
      <c r="O24">
        <f ca="1">IF($C24-O$1&lt;År1,0,N23*(1-VLOOKUP($A24,[1]Hugst!$R$5:$W$9,MATCH(ROUNDUP((O$1)/10,0)*10,[1]Hugst!$R$4:$W$4,0))))</f>
        <v>373.2008819611379</v>
      </c>
      <c r="P24">
        <f ca="1">IF($C24-P$1&lt;År1,0,O23*(1-VLOOKUP($A24,[1]Hugst!$R$5:$W$9,MATCH(ROUNDUP((P$1)/10,0)*10,[1]Hugst!$R$4:$W$4,0))))</f>
        <v>373.71296530619003</v>
      </c>
      <c r="Q24">
        <f ca="1">IF($C24-Q$1&lt;År1,0,P23*(1-VLOOKUP($A24,[1]Hugst!$R$5:$W$9,MATCH(ROUNDUP((Q$1)/10,0)*10,[1]Hugst!$R$4:$W$4,0))))</f>
        <v>374.22762193437535</v>
      </c>
      <c r="R24">
        <f ca="1">IF($C24-R$1&lt;År1,0,Q23*(1-VLOOKUP($A24,[1]Hugst!$R$5:$W$9,MATCH(ROUNDUP((R$1)/10,0)*10,[1]Hugst!$R$4:$W$4,0))))</f>
        <v>596.71456174648119</v>
      </c>
      <c r="S24">
        <f ca="1">IF($C24-S$1&lt;År1,0,R23*(1-VLOOKUP($A24,[1]Hugst!$R$5:$W$9,MATCH(ROUNDUP((S$1)/10,0)*10,[1]Hugst!$R$4:$W$4,0))))</f>
        <v>597.23440379914155</v>
      </c>
      <c r="T24">
        <f ca="1">IF($C24-T$1&lt;År1,0,S23*(1-VLOOKUP($A24,[1]Hugst!$R$5:$W$9,MATCH(ROUNDUP((T$1)/10,0)*10,[1]Hugst!$R$4:$W$4,0))))</f>
        <v>597.75685812343352</v>
      </c>
      <c r="U24">
        <f ca="1">IF($C24-U$1&lt;År1,0,T23*(1-VLOOKUP($A24,[1]Hugst!$R$5:$W$9,MATCH(ROUNDUP((U$1)/10,0)*10,[1]Hugst!$R$4:$W$4,0))))</f>
        <v>598.28193784633402</v>
      </c>
      <c r="V24">
        <f ca="1">IF($C24-V$1&lt;År1,0,U23*(1-VLOOKUP($A24,[1]Hugst!$R$5:$W$9,MATCH(ROUNDUP((V$1)/10,0)*10,[1]Hugst!$R$4:$W$4,0))))</f>
        <v>598.80965616080709</v>
      </c>
      <c r="W24">
        <f ca="1">IF($C24-W$1&lt;År1,0,V23*(1-VLOOKUP($A24,[1]Hugst!$R$5:$W$9,MATCH(ROUNDUP((W$1)/10,0)*10,[1]Hugst!$R$4:$W$4,0))))</f>
        <v>599.34002632610714</v>
      </c>
      <c r="X24">
        <f ca="1">IF($C24-X$1&lt;År1,0,W23*(1-VLOOKUP($A24,[1]Hugst!$R$5:$W$9,MATCH(ROUNDUP((X$1)/10,0)*10,[1]Hugst!$R$4:$W$4,0))))</f>
        <v>599.87306166811823</v>
      </c>
      <c r="Y24">
        <f ca="1">IF($C24-Y$1&lt;År1,0,X23*(1-VLOOKUP($A24,[1]Hugst!$R$5:$W$9,MATCH(ROUNDUP((Y$1)/10,0)*10,[1]Hugst!$R$4:$W$4,0))))</f>
        <v>600.40877557968702</v>
      </c>
      <c r="Z24">
        <f ca="1">IF($C24-Z$1&lt;År1,0,Y23*(1-VLOOKUP($A24,[1]Hugst!$R$5:$W$9,MATCH(ROUNDUP((Z$1)/10,0)*10,[1]Hugst!$R$4:$W$4,0))))</f>
        <v>600.94718152096243</v>
      </c>
      <c r="AA24">
        <f ca="1">IF($C24-AA$1&lt;År1,0,Z23*(1-VLOOKUP($A24,[1]Hugst!$R$5:$W$9,MATCH(ROUNDUP((AA$1)/10,0)*10,[1]Hugst!$R$4:$W$4,0))))</f>
        <v>601.48829301972796</v>
      </c>
      <c r="AB24">
        <f ca="1">IF($C24-AB$1&lt;År1,0,AA23*(1-VLOOKUP($A24,[1]Hugst!$R$5:$W$9,MATCH(ROUNDUP((AB$1)/10,0)*10,[1]Hugst!$R$4:$W$4,0))))</f>
        <v>602.03212367175934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55000000000000004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368.21878006304479</v>
      </c>
      <c r="G25">
        <f ca="1">IF($C25-G$1&lt;År1,0,F24*(1-VLOOKUP($A25,[1]Hugst!$R$5:$W$9,MATCH(ROUNDUP((G$1)/10,0)*10,[1]Hugst!$R$4:$W$4,0))))</f>
        <v>368.70582772016525</v>
      </c>
      <c r="H25">
        <f ca="1">IF($C25-H$1&lt;År1,0,G24*(1-VLOOKUP($A25,[1]Hugst!$R$5:$W$9,MATCH(ROUNDUP((H$1)/10,0)*10,[1]Hugst!$R$4:$W$4,0))))</f>
        <v>369.19532285294991</v>
      </c>
      <c r="I25">
        <f ca="1">IF($C25-I$1&lt;År1,0,H24*(1-VLOOKUP($A25,[1]Hugst!$R$5:$W$9,MATCH(ROUNDUP((I$1)/10,0)*10,[1]Hugst!$R$4:$W$4,0))))</f>
        <v>369.68727776026782</v>
      </c>
      <c r="J25">
        <f ca="1">IF($C25-J$1&lt;År1,0,I24*(1-VLOOKUP($A25,[1]Hugst!$R$5:$W$9,MATCH(ROUNDUP((J$1)/10,0)*10,[1]Hugst!$R$4:$W$4,0))))</f>
        <v>370.18170480279792</v>
      </c>
      <c r="K25">
        <f ca="1">IF($C25-K$1&lt;År1,0,J24*(1-VLOOKUP($A25,[1]Hugst!$R$5:$W$9,MATCH(ROUNDUP((K$1)/10,0)*10,[1]Hugst!$R$4:$W$4,0))))</f>
        <v>370.67861640333882</v>
      </c>
      <c r="L25">
        <f ca="1">IF($C25-L$1&lt;År1,0,K24*(1-VLOOKUP($A25,[1]Hugst!$R$5:$W$9,MATCH(ROUNDUP((L$1)/10,0)*10,[1]Hugst!$R$4:$W$4,0))))</f>
        <v>371.17802504708953</v>
      </c>
      <c r="M25">
        <f ca="1">IF($C25-M$1&lt;År1,0,L24*(1-VLOOKUP($A25,[1]Hugst!$R$5:$W$9,MATCH(ROUNDUP((M$1)/10,0)*10,[1]Hugst!$R$4:$W$4,0))))</f>
        <v>371.679943282019</v>
      </c>
      <c r="N25">
        <f ca="1">IF($C25-N$1&lt;År1,0,M24*(1-VLOOKUP($A25,[1]Hugst!$R$5:$W$9,MATCH(ROUNDUP((N$1)/10,0)*10,[1]Hugst!$R$4:$W$4,0))))</f>
        <v>372.18438371913368</v>
      </c>
      <c r="O25">
        <f ca="1">IF($C25-O$1&lt;År1,0,N24*(1-VLOOKUP($A25,[1]Hugst!$R$5:$W$9,MATCH(ROUNDUP((O$1)/10,0)*10,[1]Hugst!$R$4:$W$4,0))))</f>
        <v>372.69135903281409</v>
      </c>
      <c r="P25">
        <f ca="1">IF($C25-P$1&lt;År1,0,O24*(1-VLOOKUP($A25,[1]Hugst!$R$5:$W$9,MATCH(ROUNDUP((P$1)/10,0)*10,[1]Hugst!$R$4:$W$4,0))))</f>
        <v>373.2008819611379</v>
      </c>
      <c r="Q25">
        <f ca="1">IF($C25-Q$1&lt;År1,0,P24*(1-VLOOKUP($A25,[1]Hugst!$R$5:$W$9,MATCH(ROUNDUP((Q$1)/10,0)*10,[1]Hugst!$R$4:$W$4,0))))</f>
        <v>373.71296530619003</v>
      </c>
      <c r="R25">
        <f ca="1">IF($C25-R$1&lt;År1,0,Q24*(1-VLOOKUP($A25,[1]Hugst!$R$5:$W$9,MATCH(ROUNDUP((R$1)/10,0)*10,[1]Hugst!$R$4:$W$4,0))))</f>
        <v>374.22762193437535</v>
      </c>
      <c r="S25">
        <f ca="1">IF($C25-S$1&lt;År1,0,R24*(1-VLOOKUP($A25,[1]Hugst!$R$5:$W$9,MATCH(ROUNDUP((S$1)/10,0)*10,[1]Hugst!$R$4:$W$4,0))))</f>
        <v>596.71456174648119</v>
      </c>
      <c r="T25">
        <f ca="1">IF($C25-T$1&lt;År1,0,S24*(1-VLOOKUP($A25,[1]Hugst!$R$5:$W$9,MATCH(ROUNDUP((T$1)/10,0)*10,[1]Hugst!$R$4:$W$4,0))))</f>
        <v>597.23440379914155</v>
      </c>
      <c r="U25">
        <f ca="1">IF($C25-U$1&lt;År1,0,T24*(1-VLOOKUP($A25,[1]Hugst!$R$5:$W$9,MATCH(ROUNDUP((U$1)/10,0)*10,[1]Hugst!$R$4:$W$4,0))))</f>
        <v>597.75685812343352</v>
      </c>
      <c r="V25">
        <f ca="1">IF($C25-V$1&lt;År1,0,U24*(1-VLOOKUP($A25,[1]Hugst!$R$5:$W$9,MATCH(ROUNDUP((V$1)/10,0)*10,[1]Hugst!$R$4:$W$4,0))))</f>
        <v>598.28193784633402</v>
      </c>
      <c r="W25">
        <f ca="1">IF($C25-W$1&lt;År1,0,V24*(1-VLOOKUP($A25,[1]Hugst!$R$5:$W$9,MATCH(ROUNDUP((W$1)/10,0)*10,[1]Hugst!$R$4:$W$4,0))))</f>
        <v>598.80965616080709</v>
      </c>
      <c r="X25">
        <f ca="1">IF($C25-X$1&lt;År1,0,W24*(1-VLOOKUP($A25,[1]Hugst!$R$5:$W$9,MATCH(ROUNDUP((X$1)/10,0)*10,[1]Hugst!$R$4:$W$4,0))))</f>
        <v>599.34002632610714</v>
      </c>
      <c r="Y25">
        <f ca="1">IF($C25-Y$1&lt;År1,0,X24*(1-VLOOKUP($A25,[1]Hugst!$R$5:$W$9,MATCH(ROUNDUP((Y$1)/10,0)*10,[1]Hugst!$R$4:$W$4,0))))</f>
        <v>599.87306166811823</v>
      </c>
      <c r="Z25">
        <f ca="1">IF($C25-Z$1&lt;År1,0,Y24*(1-VLOOKUP($A25,[1]Hugst!$R$5:$W$9,MATCH(ROUNDUP((Z$1)/10,0)*10,[1]Hugst!$R$4:$W$4,0))))</f>
        <v>600.40877557968702</v>
      </c>
      <c r="AA25">
        <f ca="1">IF($C25-AA$1&lt;År1,0,Z24*(1-VLOOKUP($A25,[1]Hugst!$R$5:$W$9,MATCH(ROUNDUP((AA$1)/10,0)*10,[1]Hugst!$R$4:$W$4,0))))</f>
        <v>600.94718152096243</v>
      </c>
      <c r="AB25">
        <f ca="1">IF($C25-AB$1&lt;År1,0,AA24*(1-VLOOKUP($A25,[1]Hugst!$R$5:$W$9,MATCH(ROUNDUP((AB$1)/10,0)*10,[1]Hugst!$R$4:$W$4,0))))</f>
        <v>601.48829301972796</v>
      </c>
      <c r="AC25">
        <f ca="1">IF($C25-AC$1&lt;År1,0,AB24*(1-VLOOKUP($A25,[1]Hugst!$R$5:$W$9,MATCH(ROUNDUP((AC$1)/10,0)*10,[1]Hugst!$R$4:$W$4,0))))</f>
        <v>602.03212367175934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55000000000000004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367.73416764421137</v>
      </c>
      <c r="G26">
        <f ca="1">IF($C26-G$1&lt;År1,0,F25*(1-VLOOKUP($A26,[1]Hugst!$R$5:$W$9,MATCH(ROUNDUP((G$1)/10,0)*10,[1]Hugst!$R$4:$W$4,0))))</f>
        <v>368.21878006304479</v>
      </c>
      <c r="H26">
        <f ca="1">IF($C26-H$1&lt;År1,0,G25*(1-VLOOKUP($A26,[1]Hugst!$R$5:$W$9,MATCH(ROUNDUP((H$1)/10,0)*10,[1]Hugst!$R$4:$W$4,0))))</f>
        <v>368.70582772016525</v>
      </c>
      <c r="I26">
        <f ca="1">IF($C26-I$1&lt;År1,0,H25*(1-VLOOKUP($A26,[1]Hugst!$R$5:$W$9,MATCH(ROUNDUP((I$1)/10,0)*10,[1]Hugst!$R$4:$W$4,0))))</f>
        <v>369.19532285294991</v>
      </c>
      <c r="J26">
        <f ca="1">IF($C26-J$1&lt;År1,0,I25*(1-VLOOKUP($A26,[1]Hugst!$R$5:$W$9,MATCH(ROUNDUP((J$1)/10,0)*10,[1]Hugst!$R$4:$W$4,0))))</f>
        <v>369.68727776026782</v>
      </c>
      <c r="K26">
        <f ca="1">IF($C26-K$1&lt;År1,0,J25*(1-VLOOKUP($A26,[1]Hugst!$R$5:$W$9,MATCH(ROUNDUP((K$1)/10,0)*10,[1]Hugst!$R$4:$W$4,0))))</f>
        <v>370.18170480279792</v>
      </c>
      <c r="L26">
        <f ca="1">IF($C26-L$1&lt;År1,0,K25*(1-VLOOKUP($A26,[1]Hugst!$R$5:$W$9,MATCH(ROUNDUP((L$1)/10,0)*10,[1]Hugst!$R$4:$W$4,0))))</f>
        <v>370.67861640333882</v>
      </c>
      <c r="M26">
        <f ca="1">IF($C26-M$1&lt;År1,0,L25*(1-VLOOKUP($A26,[1]Hugst!$R$5:$W$9,MATCH(ROUNDUP((M$1)/10,0)*10,[1]Hugst!$R$4:$W$4,0))))</f>
        <v>371.17802504708953</v>
      </c>
      <c r="N26">
        <f ca="1">IF($C26-N$1&lt;År1,0,M25*(1-VLOOKUP($A26,[1]Hugst!$R$5:$W$9,MATCH(ROUNDUP((N$1)/10,0)*10,[1]Hugst!$R$4:$W$4,0))))</f>
        <v>371.679943282019</v>
      </c>
      <c r="O26">
        <f ca="1">IF($C26-O$1&lt;År1,0,N25*(1-VLOOKUP($A26,[1]Hugst!$R$5:$W$9,MATCH(ROUNDUP((O$1)/10,0)*10,[1]Hugst!$R$4:$W$4,0))))</f>
        <v>372.18438371913368</v>
      </c>
      <c r="P26">
        <f ca="1">IF($C26-P$1&lt;År1,0,O25*(1-VLOOKUP($A26,[1]Hugst!$R$5:$W$9,MATCH(ROUNDUP((P$1)/10,0)*10,[1]Hugst!$R$4:$W$4,0))))</f>
        <v>372.69135903281409</v>
      </c>
      <c r="Q26">
        <f ca="1">IF($C26-Q$1&lt;År1,0,P25*(1-VLOOKUP($A26,[1]Hugst!$R$5:$W$9,MATCH(ROUNDUP((Q$1)/10,0)*10,[1]Hugst!$R$4:$W$4,0))))</f>
        <v>373.2008819611379</v>
      </c>
      <c r="R26">
        <f ca="1">IF($C26-R$1&lt;År1,0,Q25*(1-VLOOKUP($A26,[1]Hugst!$R$5:$W$9,MATCH(ROUNDUP((R$1)/10,0)*10,[1]Hugst!$R$4:$W$4,0))))</f>
        <v>373.71296530619003</v>
      </c>
      <c r="S26">
        <f ca="1">IF($C26-S$1&lt;År1,0,R25*(1-VLOOKUP($A26,[1]Hugst!$R$5:$W$9,MATCH(ROUNDUP((S$1)/10,0)*10,[1]Hugst!$R$4:$W$4,0))))</f>
        <v>374.22762193437535</v>
      </c>
      <c r="T26">
        <f ca="1">IF($C26-T$1&lt;År1,0,S25*(1-VLOOKUP($A26,[1]Hugst!$R$5:$W$9,MATCH(ROUNDUP((T$1)/10,0)*10,[1]Hugst!$R$4:$W$4,0))))</f>
        <v>596.71456174648119</v>
      </c>
      <c r="U26">
        <f ca="1">IF($C26-U$1&lt;År1,0,T25*(1-VLOOKUP($A26,[1]Hugst!$R$5:$W$9,MATCH(ROUNDUP((U$1)/10,0)*10,[1]Hugst!$R$4:$W$4,0))))</f>
        <v>597.23440379914155</v>
      </c>
      <c r="V26">
        <f ca="1">IF($C26-V$1&lt;År1,0,U25*(1-VLOOKUP($A26,[1]Hugst!$R$5:$W$9,MATCH(ROUNDUP((V$1)/10,0)*10,[1]Hugst!$R$4:$W$4,0))))</f>
        <v>597.75685812343352</v>
      </c>
      <c r="W26">
        <f ca="1">IF($C26-W$1&lt;År1,0,V25*(1-VLOOKUP($A26,[1]Hugst!$R$5:$W$9,MATCH(ROUNDUP((W$1)/10,0)*10,[1]Hugst!$R$4:$W$4,0))))</f>
        <v>598.28193784633402</v>
      </c>
      <c r="X26">
        <f ca="1">IF($C26-X$1&lt;År1,0,W25*(1-VLOOKUP($A26,[1]Hugst!$R$5:$W$9,MATCH(ROUNDUP((X$1)/10,0)*10,[1]Hugst!$R$4:$W$4,0))))</f>
        <v>598.80965616080709</v>
      </c>
      <c r="Y26">
        <f ca="1">IF($C26-Y$1&lt;År1,0,X25*(1-VLOOKUP($A26,[1]Hugst!$R$5:$W$9,MATCH(ROUNDUP((Y$1)/10,0)*10,[1]Hugst!$R$4:$W$4,0))))</f>
        <v>599.34002632610714</v>
      </c>
      <c r="Z26">
        <f ca="1">IF($C26-Z$1&lt;År1,0,Y25*(1-VLOOKUP($A26,[1]Hugst!$R$5:$W$9,MATCH(ROUNDUP((Z$1)/10,0)*10,[1]Hugst!$R$4:$W$4,0))))</f>
        <v>599.87306166811823</v>
      </c>
      <c r="AA26">
        <f ca="1">IF($C26-AA$1&lt;År1,0,Z25*(1-VLOOKUP($A26,[1]Hugst!$R$5:$W$9,MATCH(ROUNDUP((AA$1)/10,0)*10,[1]Hugst!$R$4:$W$4,0))))</f>
        <v>600.40877557968702</v>
      </c>
      <c r="AB26">
        <f ca="1">IF($C26-AB$1&lt;År1,0,AA25*(1-VLOOKUP($A26,[1]Hugst!$R$5:$W$9,MATCH(ROUNDUP((AB$1)/10,0)*10,[1]Hugst!$R$4:$W$4,0))))</f>
        <v>600.94718152096243</v>
      </c>
      <c r="AC26">
        <f ca="1">IF($C26-AC$1&lt;År1,0,AB25*(1-VLOOKUP($A26,[1]Hugst!$R$5:$W$9,MATCH(ROUNDUP((AC$1)/10,0)*10,[1]Hugst!$R$4:$W$4,0))))</f>
        <v>601.48829301972796</v>
      </c>
      <c r="AD26">
        <f ca="1">IF($C26-AD$1&lt;År1,0,AC25*(1-VLOOKUP($A26,[1]Hugst!$R$5:$W$9,MATCH(ROUNDUP((AD$1)/10,0)*10,[1]Hugst!$R$4:$W$4,0))))</f>
        <v>602.03212367175934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55000000000000004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367.25197828747179</v>
      </c>
      <c r="G27">
        <f ca="1">IF($C27-G$1&lt;År1,0,F26*(1-VLOOKUP($A27,[1]Hugst!$R$5:$W$9,MATCH(ROUNDUP((G$1)/10,0)*10,[1]Hugst!$R$4:$W$4,0))))</f>
        <v>367.73416764421137</v>
      </c>
      <c r="H27">
        <f ca="1">IF($C27-H$1&lt;År1,0,G26*(1-VLOOKUP($A27,[1]Hugst!$R$5:$W$9,MATCH(ROUNDUP((H$1)/10,0)*10,[1]Hugst!$R$4:$W$4,0))))</f>
        <v>368.21878006304479</v>
      </c>
      <c r="I27">
        <f ca="1">IF($C27-I$1&lt;År1,0,H26*(1-VLOOKUP($A27,[1]Hugst!$R$5:$W$9,MATCH(ROUNDUP((I$1)/10,0)*10,[1]Hugst!$R$4:$W$4,0))))</f>
        <v>368.70582772016525</v>
      </c>
      <c r="J27">
        <f ca="1">IF($C27-J$1&lt;År1,0,I26*(1-VLOOKUP($A27,[1]Hugst!$R$5:$W$9,MATCH(ROUNDUP((J$1)/10,0)*10,[1]Hugst!$R$4:$W$4,0))))</f>
        <v>369.19532285294991</v>
      </c>
      <c r="K27">
        <f ca="1">IF($C27-K$1&lt;År1,0,J26*(1-VLOOKUP($A27,[1]Hugst!$R$5:$W$9,MATCH(ROUNDUP((K$1)/10,0)*10,[1]Hugst!$R$4:$W$4,0))))</f>
        <v>369.68727776026782</v>
      </c>
      <c r="L27">
        <f ca="1">IF($C27-L$1&lt;År1,0,K26*(1-VLOOKUP($A27,[1]Hugst!$R$5:$W$9,MATCH(ROUNDUP((L$1)/10,0)*10,[1]Hugst!$R$4:$W$4,0))))</f>
        <v>370.18170480279792</v>
      </c>
      <c r="M27">
        <f ca="1">IF($C27-M$1&lt;År1,0,L26*(1-VLOOKUP($A27,[1]Hugst!$R$5:$W$9,MATCH(ROUNDUP((M$1)/10,0)*10,[1]Hugst!$R$4:$W$4,0))))</f>
        <v>370.67861640333882</v>
      </c>
      <c r="N27">
        <f ca="1">IF($C27-N$1&lt;År1,0,M26*(1-VLOOKUP($A27,[1]Hugst!$R$5:$W$9,MATCH(ROUNDUP((N$1)/10,0)*10,[1]Hugst!$R$4:$W$4,0))))</f>
        <v>371.17802504708953</v>
      </c>
      <c r="O27">
        <f ca="1">IF($C27-O$1&lt;År1,0,N26*(1-VLOOKUP($A27,[1]Hugst!$R$5:$W$9,MATCH(ROUNDUP((O$1)/10,0)*10,[1]Hugst!$R$4:$W$4,0))))</f>
        <v>371.679943282019</v>
      </c>
      <c r="P27">
        <f ca="1">IF($C27-P$1&lt;År1,0,O26*(1-VLOOKUP($A27,[1]Hugst!$R$5:$W$9,MATCH(ROUNDUP((P$1)/10,0)*10,[1]Hugst!$R$4:$W$4,0))))</f>
        <v>372.18438371913368</v>
      </c>
      <c r="Q27">
        <f ca="1">IF($C27-Q$1&lt;År1,0,P26*(1-VLOOKUP($A27,[1]Hugst!$R$5:$W$9,MATCH(ROUNDUP((Q$1)/10,0)*10,[1]Hugst!$R$4:$W$4,0))))</f>
        <v>372.69135903281409</v>
      </c>
      <c r="R27">
        <f ca="1">IF($C27-R$1&lt;År1,0,Q26*(1-VLOOKUP($A27,[1]Hugst!$R$5:$W$9,MATCH(ROUNDUP((R$1)/10,0)*10,[1]Hugst!$R$4:$W$4,0))))</f>
        <v>373.2008819611379</v>
      </c>
      <c r="S27">
        <f ca="1">IF($C27-S$1&lt;År1,0,R26*(1-VLOOKUP($A27,[1]Hugst!$R$5:$W$9,MATCH(ROUNDUP((S$1)/10,0)*10,[1]Hugst!$R$4:$W$4,0))))</f>
        <v>373.71296530619003</v>
      </c>
      <c r="T27">
        <f ca="1">IF($C27-T$1&lt;År1,0,S26*(1-VLOOKUP($A27,[1]Hugst!$R$5:$W$9,MATCH(ROUNDUP((T$1)/10,0)*10,[1]Hugst!$R$4:$W$4,0))))</f>
        <v>374.22762193437535</v>
      </c>
      <c r="U27">
        <f ca="1">IF($C27-U$1&lt;År1,0,T26*(1-VLOOKUP($A27,[1]Hugst!$R$5:$W$9,MATCH(ROUNDUP((U$1)/10,0)*10,[1]Hugst!$R$4:$W$4,0))))</f>
        <v>596.71456174648119</v>
      </c>
      <c r="V27">
        <f ca="1">IF($C27-V$1&lt;År1,0,U26*(1-VLOOKUP($A27,[1]Hugst!$R$5:$W$9,MATCH(ROUNDUP((V$1)/10,0)*10,[1]Hugst!$R$4:$W$4,0))))</f>
        <v>597.23440379914155</v>
      </c>
      <c r="W27">
        <f ca="1">IF($C27-W$1&lt;År1,0,V26*(1-VLOOKUP($A27,[1]Hugst!$R$5:$W$9,MATCH(ROUNDUP((W$1)/10,0)*10,[1]Hugst!$R$4:$W$4,0))))</f>
        <v>597.75685812343352</v>
      </c>
      <c r="X27">
        <f ca="1">IF($C27-X$1&lt;År1,0,W26*(1-VLOOKUP($A27,[1]Hugst!$R$5:$W$9,MATCH(ROUNDUP((X$1)/10,0)*10,[1]Hugst!$R$4:$W$4,0))))</f>
        <v>598.28193784633402</v>
      </c>
      <c r="Y27">
        <f ca="1">IF($C27-Y$1&lt;År1,0,X26*(1-VLOOKUP($A27,[1]Hugst!$R$5:$W$9,MATCH(ROUNDUP((Y$1)/10,0)*10,[1]Hugst!$R$4:$W$4,0))))</f>
        <v>598.80965616080709</v>
      </c>
      <c r="Z27">
        <f ca="1">IF($C27-Z$1&lt;År1,0,Y26*(1-VLOOKUP($A27,[1]Hugst!$R$5:$W$9,MATCH(ROUNDUP((Z$1)/10,0)*10,[1]Hugst!$R$4:$W$4,0))))</f>
        <v>599.34002632610714</v>
      </c>
      <c r="AA27">
        <f ca="1">IF($C27-AA$1&lt;År1,0,Z26*(1-VLOOKUP($A27,[1]Hugst!$R$5:$W$9,MATCH(ROUNDUP((AA$1)/10,0)*10,[1]Hugst!$R$4:$W$4,0))))</f>
        <v>599.87306166811823</v>
      </c>
      <c r="AB27">
        <f ca="1">IF($C27-AB$1&lt;År1,0,AA26*(1-VLOOKUP($A27,[1]Hugst!$R$5:$W$9,MATCH(ROUNDUP((AB$1)/10,0)*10,[1]Hugst!$R$4:$W$4,0))))</f>
        <v>600.40877557968702</v>
      </c>
      <c r="AC27">
        <f ca="1">IF($C27-AC$1&lt;År1,0,AB26*(1-VLOOKUP($A27,[1]Hugst!$R$5:$W$9,MATCH(ROUNDUP((AC$1)/10,0)*10,[1]Hugst!$R$4:$W$4,0))))</f>
        <v>600.94718152096243</v>
      </c>
      <c r="AD27">
        <f ca="1">IF($C27-AD$1&lt;År1,0,AC26*(1-VLOOKUP($A27,[1]Hugst!$R$5:$W$9,MATCH(ROUNDUP((AD$1)/10,0)*10,[1]Hugst!$R$4:$W$4,0))))</f>
        <v>601.48829301972796</v>
      </c>
      <c r="AE27">
        <f ca="1">IF($C27-AE$1&lt;År1,0,AD26*(1-VLOOKUP($A27,[1]Hugst!$R$5:$W$9,MATCH(ROUNDUP((AE$1)/10,0)*10,[1]Hugst!$R$4:$W$4,0))))</f>
        <v>602.03212367175934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55000000000000004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366.77219987751897</v>
      </c>
      <c r="G28">
        <f ca="1">IF($C28-G$1&lt;År1,0,F27*(1-VLOOKUP($A28,[1]Hugst!$R$5:$W$9,MATCH(ROUNDUP((G$1)/10,0)*10,[1]Hugst!$R$4:$W$4,0))))</f>
        <v>367.25197828747179</v>
      </c>
      <c r="H28">
        <f ca="1">IF($C28-H$1&lt;År1,0,G27*(1-VLOOKUP($A28,[1]Hugst!$R$5:$W$9,MATCH(ROUNDUP((H$1)/10,0)*10,[1]Hugst!$R$4:$W$4,0))))</f>
        <v>367.73416764421137</v>
      </c>
      <c r="I28">
        <f ca="1">IF($C28-I$1&lt;År1,0,H27*(1-VLOOKUP($A28,[1]Hugst!$R$5:$W$9,MATCH(ROUNDUP((I$1)/10,0)*10,[1]Hugst!$R$4:$W$4,0))))</f>
        <v>368.21878006304479</v>
      </c>
      <c r="J28">
        <f ca="1">IF($C28-J$1&lt;År1,0,I27*(1-VLOOKUP($A28,[1]Hugst!$R$5:$W$9,MATCH(ROUNDUP((J$1)/10,0)*10,[1]Hugst!$R$4:$W$4,0))))</f>
        <v>368.70582772016525</v>
      </c>
      <c r="K28">
        <f ca="1">IF($C28-K$1&lt;År1,0,J27*(1-VLOOKUP($A28,[1]Hugst!$R$5:$W$9,MATCH(ROUNDUP((K$1)/10,0)*10,[1]Hugst!$R$4:$W$4,0))))</f>
        <v>369.19532285294991</v>
      </c>
      <c r="L28">
        <f ca="1">IF($C28-L$1&lt;År1,0,K27*(1-VLOOKUP($A28,[1]Hugst!$R$5:$W$9,MATCH(ROUNDUP((L$1)/10,0)*10,[1]Hugst!$R$4:$W$4,0))))</f>
        <v>369.68727776026782</v>
      </c>
      <c r="M28">
        <f ca="1">IF($C28-M$1&lt;År1,0,L27*(1-VLOOKUP($A28,[1]Hugst!$R$5:$W$9,MATCH(ROUNDUP((M$1)/10,0)*10,[1]Hugst!$R$4:$W$4,0))))</f>
        <v>370.18170480279792</v>
      </c>
      <c r="N28">
        <f ca="1">IF($C28-N$1&lt;År1,0,M27*(1-VLOOKUP($A28,[1]Hugst!$R$5:$W$9,MATCH(ROUNDUP((N$1)/10,0)*10,[1]Hugst!$R$4:$W$4,0))))</f>
        <v>370.67861640333882</v>
      </c>
      <c r="O28">
        <f ca="1">IF($C28-O$1&lt;År1,0,N27*(1-VLOOKUP($A28,[1]Hugst!$R$5:$W$9,MATCH(ROUNDUP((O$1)/10,0)*10,[1]Hugst!$R$4:$W$4,0))))</f>
        <v>371.17802504708953</v>
      </c>
      <c r="P28">
        <f ca="1">IF($C28-P$1&lt;År1,0,O27*(1-VLOOKUP($A28,[1]Hugst!$R$5:$W$9,MATCH(ROUNDUP((P$1)/10,0)*10,[1]Hugst!$R$4:$W$4,0))))</f>
        <v>371.679943282019</v>
      </c>
      <c r="Q28">
        <f ca="1">IF($C28-Q$1&lt;År1,0,P27*(1-VLOOKUP($A28,[1]Hugst!$R$5:$W$9,MATCH(ROUNDUP((Q$1)/10,0)*10,[1]Hugst!$R$4:$W$4,0))))</f>
        <v>372.18438371913368</v>
      </c>
      <c r="R28">
        <f ca="1">IF($C28-R$1&lt;År1,0,Q27*(1-VLOOKUP($A28,[1]Hugst!$R$5:$W$9,MATCH(ROUNDUP((R$1)/10,0)*10,[1]Hugst!$R$4:$W$4,0))))</f>
        <v>372.69135903281409</v>
      </c>
      <c r="S28">
        <f ca="1">IF($C28-S$1&lt;År1,0,R27*(1-VLOOKUP($A28,[1]Hugst!$R$5:$W$9,MATCH(ROUNDUP((S$1)/10,0)*10,[1]Hugst!$R$4:$W$4,0))))</f>
        <v>373.2008819611379</v>
      </c>
      <c r="T28">
        <f ca="1">IF($C28-T$1&lt;År1,0,S27*(1-VLOOKUP($A28,[1]Hugst!$R$5:$W$9,MATCH(ROUNDUP((T$1)/10,0)*10,[1]Hugst!$R$4:$W$4,0))))</f>
        <v>373.71296530619003</v>
      </c>
      <c r="U28">
        <f ca="1">IF($C28-U$1&lt;År1,0,T27*(1-VLOOKUP($A28,[1]Hugst!$R$5:$W$9,MATCH(ROUNDUP((U$1)/10,0)*10,[1]Hugst!$R$4:$W$4,0))))</f>
        <v>374.22762193437535</v>
      </c>
      <c r="V28">
        <f ca="1">IF($C28-V$1&lt;År1,0,U27*(1-VLOOKUP($A28,[1]Hugst!$R$5:$W$9,MATCH(ROUNDUP((V$1)/10,0)*10,[1]Hugst!$R$4:$W$4,0))))</f>
        <v>596.71456174648119</v>
      </c>
      <c r="W28">
        <f ca="1">IF($C28-W$1&lt;År1,0,V27*(1-VLOOKUP($A28,[1]Hugst!$R$5:$W$9,MATCH(ROUNDUP((W$1)/10,0)*10,[1]Hugst!$R$4:$W$4,0))))</f>
        <v>597.23440379914155</v>
      </c>
      <c r="X28">
        <f ca="1">IF($C28-X$1&lt;År1,0,W27*(1-VLOOKUP($A28,[1]Hugst!$R$5:$W$9,MATCH(ROUNDUP((X$1)/10,0)*10,[1]Hugst!$R$4:$W$4,0))))</f>
        <v>597.75685812343352</v>
      </c>
      <c r="Y28">
        <f ca="1">IF($C28-Y$1&lt;År1,0,X27*(1-VLOOKUP($A28,[1]Hugst!$R$5:$W$9,MATCH(ROUNDUP((Y$1)/10,0)*10,[1]Hugst!$R$4:$W$4,0))))</f>
        <v>598.28193784633402</v>
      </c>
      <c r="Z28">
        <f ca="1">IF($C28-Z$1&lt;År1,0,Y27*(1-VLOOKUP($A28,[1]Hugst!$R$5:$W$9,MATCH(ROUNDUP((Z$1)/10,0)*10,[1]Hugst!$R$4:$W$4,0))))</f>
        <v>598.80965616080709</v>
      </c>
      <c r="AA28">
        <f ca="1">IF($C28-AA$1&lt;År1,0,Z27*(1-VLOOKUP($A28,[1]Hugst!$R$5:$W$9,MATCH(ROUNDUP((AA$1)/10,0)*10,[1]Hugst!$R$4:$W$4,0))))</f>
        <v>599.34002632610714</v>
      </c>
      <c r="AB28">
        <f ca="1">IF($C28-AB$1&lt;År1,0,AA27*(1-VLOOKUP($A28,[1]Hugst!$R$5:$W$9,MATCH(ROUNDUP((AB$1)/10,0)*10,[1]Hugst!$R$4:$W$4,0))))</f>
        <v>599.87306166811823</v>
      </c>
      <c r="AC28">
        <f ca="1">IF($C28-AC$1&lt;År1,0,AB27*(1-VLOOKUP($A28,[1]Hugst!$R$5:$W$9,MATCH(ROUNDUP((AC$1)/10,0)*10,[1]Hugst!$R$4:$W$4,0))))</f>
        <v>600.40877557968702</v>
      </c>
      <c r="AD28">
        <f ca="1">IF($C28-AD$1&lt;År1,0,AC27*(1-VLOOKUP($A28,[1]Hugst!$R$5:$W$9,MATCH(ROUNDUP((AD$1)/10,0)*10,[1]Hugst!$R$4:$W$4,0))))</f>
        <v>600.94718152096243</v>
      </c>
      <c r="AE28">
        <f ca="1">IF($C28-AE$1&lt;År1,0,AD27*(1-VLOOKUP($A28,[1]Hugst!$R$5:$W$9,MATCH(ROUNDUP((AE$1)/10,0)*10,[1]Hugst!$R$4:$W$4,0))))</f>
        <v>601.48829301972796</v>
      </c>
      <c r="AF28">
        <f ca="1">IF($C28-AF$1&lt;År1,0,AE27*(1-VLOOKUP($A28,[1]Hugst!$R$5:$W$9,MATCH(ROUNDUP((AF$1)/10,0)*10,[1]Hugst!$R$4:$W$4,0))))</f>
        <v>602.03212367175934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55000000000000004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366.29482035960683</v>
      </c>
      <c r="G29">
        <f ca="1">IF($C29-G$1&lt;År1,0,F28*(1-VLOOKUP($A29,[1]Hugst!$R$5:$W$9,MATCH(ROUNDUP((G$1)/10,0)*10,[1]Hugst!$R$4:$W$4,0))))</f>
        <v>366.77219987751897</v>
      </c>
      <c r="H29">
        <f ca="1">IF($C29-H$1&lt;År1,0,G28*(1-VLOOKUP($A29,[1]Hugst!$R$5:$W$9,MATCH(ROUNDUP((H$1)/10,0)*10,[1]Hugst!$R$4:$W$4,0))))</f>
        <v>367.25197828747179</v>
      </c>
      <c r="I29">
        <f ca="1">IF($C29-I$1&lt;År1,0,H28*(1-VLOOKUP($A29,[1]Hugst!$R$5:$W$9,MATCH(ROUNDUP((I$1)/10,0)*10,[1]Hugst!$R$4:$W$4,0))))</f>
        <v>367.73416764421137</v>
      </c>
      <c r="J29">
        <f ca="1">IF($C29-J$1&lt;År1,0,I28*(1-VLOOKUP($A29,[1]Hugst!$R$5:$W$9,MATCH(ROUNDUP((J$1)/10,0)*10,[1]Hugst!$R$4:$W$4,0))))</f>
        <v>368.21878006304479</v>
      </c>
      <c r="K29">
        <f ca="1">IF($C29-K$1&lt;År1,0,J28*(1-VLOOKUP($A29,[1]Hugst!$R$5:$W$9,MATCH(ROUNDUP((K$1)/10,0)*10,[1]Hugst!$R$4:$W$4,0))))</f>
        <v>368.70582772016525</v>
      </c>
      <c r="L29">
        <f ca="1">IF($C29-L$1&lt;År1,0,K28*(1-VLOOKUP($A29,[1]Hugst!$R$5:$W$9,MATCH(ROUNDUP((L$1)/10,0)*10,[1]Hugst!$R$4:$W$4,0))))</f>
        <v>369.19532285294991</v>
      </c>
      <c r="M29">
        <f ca="1">IF($C29-M$1&lt;År1,0,L28*(1-VLOOKUP($A29,[1]Hugst!$R$5:$W$9,MATCH(ROUNDUP((M$1)/10,0)*10,[1]Hugst!$R$4:$W$4,0))))</f>
        <v>369.68727776026782</v>
      </c>
      <c r="N29">
        <f ca="1">IF($C29-N$1&lt;År1,0,M28*(1-VLOOKUP($A29,[1]Hugst!$R$5:$W$9,MATCH(ROUNDUP((N$1)/10,0)*10,[1]Hugst!$R$4:$W$4,0))))</f>
        <v>370.18170480279792</v>
      </c>
      <c r="O29">
        <f ca="1">IF($C29-O$1&lt;År1,0,N28*(1-VLOOKUP($A29,[1]Hugst!$R$5:$W$9,MATCH(ROUNDUP((O$1)/10,0)*10,[1]Hugst!$R$4:$W$4,0))))</f>
        <v>370.67861640333882</v>
      </c>
      <c r="P29">
        <f ca="1">IF($C29-P$1&lt;År1,0,O28*(1-VLOOKUP($A29,[1]Hugst!$R$5:$W$9,MATCH(ROUNDUP((P$1)/10,0)*10,[1]Hugst!$R$4:$W$4,0))))</f>
        <v>371.17802504708953</v>
      </c>
      <c r="Q29">
        <f ca="1">IF($C29-Q$1&lt;År1,0,P28*(1-VLOOKUP($A29,[1]Hugst!$R$5:$W$9,MATCH(ROUNDUP((Q$1)/10,0)*10,[1]Hugst!$R$4:$W$4,0))))</f>
        <v>371.679943282019</v>
      </c>
      <c r="R29">
        <f ca="1">IF($C29-R$1&lt;År1,0,Q28*(1-VLOOKUP($A29,[1]Hugst!$R$5:$W$9,MATCH(ROUNDUP((R$1)/10,0)*10,[1]Hugst!$R$4:$W$4,0))))</f>
        <v>372.18438371913368</v>
      </c>
      <c r="S29">
        <f ca="1">IF($C29-S$1&lt;År1,0,R28*(1-VLOOKUP($A29,[1]Hugst!$R$5:$W$9,MATCH(ROUNDUP((S$1)/10,0)*10,[1]Hugst!$R$4:$W$4,0))))</f>
        <v>372.69135903281409</v>
      </c>
      <c r="T29">
        <f ca="1">IF($C29-T$1&lt;År1,0,S28*(1-VLOOKUP($A29,[1]Hugst!$R$5:$W$9,MATCH(ROUNDUP((T$1)/10,0)*10,[1]Hugst!$R$4:$W$4,0))))</f>
        <v>373.2008819611379</v>
      </c>
      <c r="U29">
        <f ca="1">IF($C29-U$1&lt;År1,0,T28*(1-VLOOKUP($A29,[1]Hugst!$R$5:$W$9,MATCH(ROUNDUP((U$1)/10,0)*10,[1]Hugst!$R$4:$W$4,0))))</f>
        <v>373.71296530619003</v>
      </c>
      <c r="V29">
        <f ca="1">IF($C29-V$1&lt;År1,0,U28*(1-VLOOKUP($A29,[1]Hugst!$R$5:$W$9,MATCH(ROUNDUP((V$1)/10,0)*10,[1]Hugst!$R$4:$W$4,0))))</f>
        <v>374.22762193437535</v>
      </c>
      <c r="W29">
        <f ca="1">IF($C29-W$1&lt;År1,0,V28*(1-VLOOKUP($A29,[1]Hugst!$R$5:$W$9,MATCH(ROUNDUP((W$1)/10,0)*10,[1]Hugst!$R$4:$W$4,0))))</f>
        <v>596.71456174648119</v>
      </c>
      <c r="X29">
        <f ca="1">IF($C29-X$1&lt;År1,0,W28*(1-VLOOKUP($A29,[1]Hugst!$R$5:$W$9,MATCH(ROUNDUP((X$1)/10,0)*10,[1]Hugst!$R$4:$W$4,0))))</f>
        <v>597.23440379914155</v>
      </c>
      <c r="Y29">
        <f ca="1">IF($C29-Y$1&lt;År1,0,X28*(1-VLOOKUP($A29,[1]Hugst!$R$5:$W$9,MATCH(ROUNDUP((Y$1)/10,0)*10,[1]Hugst!$R$4:$W$4,0))))</f>
        <v>597.75685812343352</v>
      </c>
      <c r="Z29">
        <f ca="1">IF($C29-Z$1&lt;År1,0,Y28*(1-VLOOKUP($A29,[1]Hugst!$R$5:$W$9,MATCH(ROUNDUP((Z$1)/10,0)*10,[1]Hugst!$R$4:$W$4,0))))</f>
        <v>598.28193784633402</v>
      </c>
      <c r="AA29">
        <f ca="1">IF($C29-AA$1&lt;År1,0,Z28*(1-VLOOKUP($A29,[1]Hugst!$R$5:$W$9,MATCH(ROUNDUP((AA$1)/10,0)*10,[1]Hugst!$R$4:$W$4,0))))</f>
        <v>598.80965616080709</v>
      </c>
      <c r="AB29">
        <f ca="1">IF($C29-AB$1&lt;År1,0,AA28*(1-VLOOKUP($A29,[1]Hugst!$R$5:$W$9,MATCH(ROUNDUP((AB$1)/10,0)*10,[1]Hugst!$R$4:$W$4,0))))</f>
        <v>599.34002632610714</v>
      </c>
      <c r="AC29">
        <f ca="1">IF($C29-AC$1&lt;År1,0,AB28*(1-VLOOKUP($A29,[1]Hugst!$R$5:$W$9,MATCH(ROUNDUP((AC$1)/10,0)*10,[1]Hugst!$R$4:$W$4,0))))</f>
        <v>599.87306166811823</v>
      </c>
      <c r="AD29">
        <f ca="1">IF($C29-AD$1&lt;År1,0,AC28*(1-VLOOKUP($A29,[1]Hugst!$R$5:$W$9,MATCH(ROUNDUP((AD$1)/10,0)*10,[1]Hugst!$R$4:$W$4,0))))</f>
        <v>600.40877557968702</v>
      </c>
      <c r="AE29">
        <f ca="1">IF($C29-AE$1&lt;År1,0,AD28*(1-VLOOKUP($A29,[1]Hugst!$R$5:$W$9,MATCH(ROUNDUP((AE$1)/10,0)*10,[1]Hugst!$R$4:$W$4,0))))</f>
        <v>600.94718152096243</v>
      </c>
      <c r="AF29">
        <f ca="1">IF($C29-AF$1&lt;År1,0,AE28*(1-VLOOKUP($A29,[1]Hugst!$R$5:$W$9,MATCH(ROUNDUP((AF$1)/10,0)*10,[1]Hugst!$R$4:$W$4,0))))</f>
        <v>601.48829301972796</v>
      </c>
      <c r="AG29">
        <f ca="1">IF($C29-AG$1&lt;År1,0,AF28*(1-VLOOKUP($A29,[1]Hugst!$R$5:$W$9,MATCH(ROUNDUP((AG$1)/10,0)*10,[1]Hugst!$R$4:$W$4,0))))</f>
        <v>602.03212367175934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55000000000000004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365.81982773929332</v>
      </c>
      <c r="G30">
        <f ca="1">IF($C30-G$1&lt;År1,0,F29*(1-VLOOKUP($A30,[1]Hugst!$R$5:$W$9,MATCH(ROUNDUP((G$1)/10,0)*10,[1]Hugst!$R$4:$W$4,0))))</f>
        <v>366.29482035960683</v>
      </c>
      <c r="H30">
        <f ca="1">IF($C30-H$1&lt;År1,0,G29*(1-VLOOKUP($A30,[1]Hugst!$R$5:$W$9,MATCH(ROUNDUP((H$1)/10,0)*10,[1]Hugst!$R$4:$W$4,0))))</f>
        <v>366.77219987751897</v>
      </c>
      <c r="I30">
        <f ca="1">IF($C30-I$1&lt;År1,0,H29*(1-VLOOKUP($A30,[1]Hugst!$R$5:$W$9,MATCH(ROUNDUP((I$1)/10,0)*10,[1]Hugst!$R$4:$W$4,0))))</f>
        <v>367.25197828747179</v>
      </c>
      <c r="J30">
        <f ca="1">IF($C30-J$1&lt;År1,0,I29*(1-VLOOKUP($A30,[1]Hugst!$R$5:$W$9,MATCH(ROUNDUP((J$1)/10,0)*10,[1]Hugst!$R$4:$W$4,0))))</f>
        <v>367.73416764421137</v>
      </c>
      <c r="K30">
        <f ca="1">IF($C30-K$1&lt;År1,0,J29*(1-VLOOKUP($A30,[1]Hugst!$R$5:$W$9,MATCH(ROUNDUP((K$1)/10,0)*10,[1]Hugst!$R$4:$W$4,0))))</f>
        <v>368.21878006304479</v>
      </c>
      <c r="L30">
        <f ca="1">IF($C30-L$1&lt;År1,0,K29*(1-VLOOKUP($A30,[1]Hugst!$R$5:$W$9,MATCH(ROUNDUP((L$1)/10,0)*10,[1]Hugst!$R$4:$W$4,0))))</f>
        <v>368.70582772016525</v>
      </c>
      <c r="M30">
        <f ca="1">IF($C30-M$1&lt;År1,0,L29*(1-VLOOKUP($A30,[1]Hugst!$R$5:$W$9,MATCH(ROUNDUP((M$1)/10,0)*10,[1]Hugst!$R$4:$W$4,0))))</f>
        <v>369.19532285294991</v>
      </c>
      <c r="N30">
        <f ca="1">IF($C30-N$1&lt;År1,0,M29*(1-VLOOKUP($A30,[1]Hugst!$R$5:$W$9,MATCH(ROUNDUP((N$1)/10,0)*10,[1]Hugst!$R$4:$W$4,0))))</f>
        <v>369.68727776026782</v>
      </c>
      <c r="O30">
        <f ca="1">IF($C30-O$1&lt;År1,0,N29*(1-VLOOKUP($A30,[1]Hugst!$R$5:$W$9,MATCH(ROUNDUP((O$1)/10,0)*10,[1]Hugst!$R$4:$W$4,0))))</f>
        <v>370.18170480279792</v>
      </c>
      <c r="P30">
        <f ca="1">IF($C30-P$1&lt;År1,0,O29*(1-VLOOKUP($A30,[1]Hugst!$R$5:$W$9,MATCH(ROUNDUP((P$1)/10,0)*10,[1]Hugst!$R$4:$W$4,0))))</f>
        <v>370.67861640333882</v>
      </c>
      <c r="Q30">
        <f ca="1">IF($C30-Q$1&lt;År1,0,P29*(1-VLOOKUP($A30,[1]Hugst!$R$5:$W$9,MATCH(ROUNDUP((Q$1)/10,0)*10,[1]Hugst!$R$4:$W$4,0))))</f>
        <v>371.17802504708953</v>
      </c>
      <c r="R30">
        <f ca="1">IF($C30-R$1&lt;År1,0,Q29*(1-VLOOKUP($A30,[1]Hugst!$R$5:$W$9,MATCH(ROUNDUP((R$1)/10,0)*10,[1]Hugst!$R$4:$W$4,0))))</f>
        <v>371.679943282019</v>
      </c>
      <c r="S30">
        <f ca="1">IF($C30-S$1&lt;År1,0,R29*(1-VLOOKUP($A30,[1]Hugst!$R$5:$W$9,MATCH(ROUNDUP((S$1)/10,0)*10,[1]Hugst!$R$4:$W$4,0))))</f>
        <v>372.18438371913368</v>
      </c>
      <c r="T30">
        <f ca="1">IF($C30-T$1&lt;År1,0,S29*(1-VLOOKUP($A30,[1]Hugst!$R$5:$W$9,MATCH(ROUNDUP((T$1)/10,0)*10,[1]Hugst!$R$4:$W$4,0))))</f>
        <v>372.69135903281409</v>
      </c>
      <c r="U30">
        <f ca="1">IF($C30-U$1&lt;År1,0,T29*(1-VLOOKUP($A30,[1]Hugst!$R$5:$W$9,MATCH(ROUNDUP((U$1)/10,0)*10,[1]Hugst!$R$4:$W$4,0))))</f>
        <v>373.2008819611379</v>
      </c>
      <c r="V30">
        <f ca="1">IF($C30-V$1&lt;År1,0,U29*(1-VLOOKUP($A30,[1]Hugst!$R$5:$W$9,MATCH(ROUNDUP((V$1)/10,0)*10,[1]Hugst!$R$4:$W$4,0))))</f>
        <v>373.71296530619003</v>
      </c>
      <c r="W30">
        <f ca="1">IF($C30-W$1&lt;År1,0,V29*(1-VLOOKUP($A30,[1]Hugst!$R$5:$W$9,MATCH(ROUNDUP((W$1)/10,0)*10,[1]Hugst!$R$4:$W$4,0))))</f>
        <v>374.22762193437535</v>
      </c>
      <c r="X30">
        <f ca="1">IF($C30-X$1&lt;År1,0,W29*(1-VLOOKUP($A30,[1]Hugst!$R$5:$W$9,MATCH(ROUNDUP((X$1)/10,0)*10,[1]Hugst!$R$4:$W$4,0))))</f>
        <v>596.71456174648119</v>
      </c>
      <c r="Y30">
        <f ca="1">IF($C30-Y$1&lt;År1,0,X29*(1-VLOOKUP($A30,[1]Hugst!$R$5:$W$9,MATCH(ROUNDUP((Y$1)/10,0)*10,[1]Hugst!$R$4:$W$4,0))))</f>
        <v>597.23440379914155</v>
      </c>
      <c r="Z30">
        <f ca="1">IF($C30-Z$1&lt;År1,0,Y29*(1-VLOOKUP($A30,[1]Hugst!$R$5:$W$9,MATCH(ROUNDUP((Z$1)/10,0)*10,[1]Hugst!$R$4:$W$4,0))))</f>
        <v>597.75685812343352</v>
      </c>
      <c r="AA30">
        <f ca="1">IF($C30-AA$1&lt;År1,0,Z29*(1-VLOOKUP($A30,[1]Hugst!$R$5:$W$9,MATCH(ROUNDUP((AA$1)/10,0)*10,[1]Hugst!$R$4:$W$4,0))))</f>
        <v>598.28193784633402</v>
      </c>
      <c r="AB30">
        <f ca="1">IF($C30-AB$1&lt;År1,0,AA29*(1-VLOOKUP($A30,[1]Hugst!$R$5:$W$9,MATCH(ROUNDUP((AB$1)/10,0)*10,[1]Hugst!$R$4:$W$4,0))))</f>
        <v>598.80965616080709</v>
      </c>
      <c r="AC30">
        <f ca="1">IF($C30-AC$1&lt;År1,0,AB29*(1-VLOOKUP($A30,[1]Hugst!$R$5:$W$9,MATCH(ROUNDUP((AC$1)/10,0)*10,[1]Hugst!$R$4:$W$4,0))))</f>
        <v>599.34002632610714</v>
      </c>
      <c r="AD30">
        <f ca="1">IF($C30-AD$1&lt;År1,0,AC29*(1-VLOOKUP($A30,[1]Hugst!$R$5:$W$9,MATCH(ROUNDUP((AD$1)/10,0)*10,[1]Hugst!$R$4:$W$4,0))))</f>
        <v>599.87306166811823</v>
      </c>
      <c r="AE30">
        <f ca="1">IF($C30-AE$1&lt;År1,0,AD29*(1-VLOOKUP($A30,[1]Hugst!$R$5:$W$9,MATCH(ROUNDUP((AE$1)/10,0)*10,[1]Hugst!$R$4:$W$4,0))))</f>
        <v>600.40877557968702</v>
      </c>
      <c r="AF30">
        <f ca="1">IF($C30-AF$1&lt;År1,0,AE29*(1-VLOOKUP($A30,[1]Hugst!$R$5:$W$9,MATCH(ROUNDUP((AF$1)/10,0)*10,[1]Hugst!$R$4:$W$4,0))))</f>
        <v>600.94718152096243</v>
      </c>
      <c r="AG30">
        <f ca="1">IF($C30-AG$1&lt;År1,0,AF29*(1-VLOOKUP($A30,[1]Hugst!$R$5:$W$9,MATCH(ROUNDUP((AG$1)/10,0)*10,[1]Hugst!$R$4:$W$4,0))))</f>
        <v>601.48829301972796</v>
      </c>
      <c r="AH30">
        <f ca="1">IF($C30-AH$1&lt;År1,0,AG29*(1-VLOOKUP($A30,[1]Hugst!$R$5:$W$9,MATCH(ROUNDUP((AH$1)/10,0)*10,[1]Hugst!$R$4:$W$4,0))))</f>
        <v>602.03212367175934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55000000000000004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365.34721008207845</v>
      </c>
      <c r="G31">
        <f ca="1">IF($C31-G$1&lt;År1,0,F30*(1-VLOOKUP($A31,[1]Hugst!$R$5:$W$9,MATCH(ROUNDUP((G$1)/10,0)*10,[1]Hugst!$R$4:$W$4,0))))</f>
        <v>365.81982773929332</v>
      </c>
      <c r="H31">
        <f ca="1">IF($C31-H$1&lt;År1,0,G30*(1-VLOOKUP($A31,[1]Hugst!$R$5:$W$9,MATCH(ROUNDUP((H$1)/10,0)*10,[1]Hugst!$R$4:$W$4,0))))</f>
        <v>366.29482035960683</v>
      </c>
      <c r="I31">
        <f ca="1">IF($C31-I$1&lt;År1,0,H30*(1-VLOOKUP($A31,[1]Hugst!$R$5:$W$9,MATCH(ROUNDUP((I$1)/10,0)*10,[1]Hugst!$R$4:$W$4,0))))</f>
        <v>366.77219987751897</v>
      </c>
      <c r="J31">
        <f ca="1">IF($C31-J$1&lt;År1,0,I30*(1-VLOOKUP($A31,[1]Hugst!$R$5:$W$9,MATCH(ROUNDUP((J$1)/10,0)*10,[1]Hugst!$R$4:$W$4,0))))</f>
        <v>367.25197828747179</v>
      </c>
      <c r="K31">
        <f ca="1">IF($C31-K$1&lt;År1,0,J30*(1-VLOOKUP($A31,[1]Hugst!$R$5:$W$9,MATCH(ROUNDUP((K$1)/10,0)*10,[1]Hugst!$R$4:$W$4,0))))</f>
        <v>367.73416764421137</v>
      </c>
      <c r="L31">
        <f ca="1">IF($C31-L$1&lt;År1,0,K30*(1-VLOOKUP($A31,[1]Hugst!$R$5:$W$9,MATCH(ROUNDUP((L$1)/10,0)*10,[1]Hugst!$R$4:$W$4,0))))</f>
        <v>368.21878006304479</v>
      </c>
      <c r="M31">
        <f ca="1">IF($C31-M$1&lt;År1,0,L30*(1-VLOOKUP($A31,[1]Hugst!$R$5:$W$9,MATCH(ROUNDUP((M$1)/10,0)*10,[1]Hugst!$R$4:$W$4,0))))</f>
        <v>368.70582772016525</v>
      </c>
      <c r="N31">
        <f ca="1">IF($C31-N$1&lt;År1,0,M30*(1-VLOOKUP($A31,[1]Hugst!$R$5:$W$9,MATCH(ROUNDUP((N$1)/10,0)*10,[1]Hugst!$R$4:$W$4,0))))</f>
        <v>369.19532285294991</v>
      </c>
      <c r="O31">
        <f ca="1">IF($C31-O$1&lt;År1,0,N30*(1-VLOOKUP($A31,[1]Hugst!$R$5:$W$9,MATCH(ROUNDUP((O$1)/10,0)*10,[1]Hugst!$R$4:$W$4,0))))</f>
        <v>369.68727776026782</v>
      </c>
      <c r="P31">
        <f ca="1">IF($C31-P$1&lt;År1,0,O30*(1-VLOOKUP($A31,[1]Hugst!$R$5:$W$9,MATCH(ROUNDUP((P$1)/10,0)*10,[1]Hugst!$R$4:$W$4,0))))</f>
        <v>370.18170480279792</v>
      </c>
      <c r="Q31">
        <f ca="1">IF($C31-Q$1&lt;År1,0,P30*(1-VLOOKUP($A31,[1]Hugst!$R$5:$W$9,MATCH(ROUNDUP((Q$1)/10,0)*10,[1]Hugst!$R$4:$W$4,0))))</f>
        <v>370.67861640333882</v>
      </c>
      <c r="R31">
        <f ca="1">IF($C31-R$1&lt;År1,0,Q30*(1-VLOOKUP($A31,[1]Hugst!$R$5:$W$9,MATCH(ROUNDUP((R$1)/10,0)*10,[1]Hugst!$R$4:$W$4,0))))</f>
        <v>371.17802504708953</v>
      </c>
      <c r="S31">
        <f ca="1">IF($C31-S$1&lt;År1,0,R30*(1-VLOOKUP($A31,[1]Hugst!$R$5:$W$9,MATCH(ROUNDUP((S$1)/10,0)*10,[1]Hugst!$R$4:$W$4,0))))</f>
        <v>371.679943282019</v>
      </c>
      <c r="T31">
        <f ca="1">IF($C31-T$1&lt;År1,0,S30*(1-VLOOKUP($A31,[1]Hugst!$R$5:$W$9,MATCH(ROUNDUP((T$1)/10,0)*10,[1]Hugst!$R$4:$W$4,0))))</f>
        <v>372.18438371913368</v>
      </c>
      <c r="U31">
        <f ca="1">IF($C31-U$1&lt;År1,0,T30*(1-VLOOKUP($A31,[1]Hugst!$R$5:$W$9,MATCH(ROUNDUP((U$1)/10,0)*10,[1]Hugst!$R$4:$W$4,0))))</f>
        <v>372.69135903281409</v>
      </c>
      <c r="V31">
        <f ca="1">IF($C31-V$1&lt;År1,0,U30*(1-VLOOKUP($A31,[1]Hugst!$R$5:$W$9,MATCH(ROUNDUP((V$1)/10,0)*10,[1]Hugst!$R$4:$W$4,0))))</f>
        <v>373.2008819611379</v>
      </c>
      <c r="W31">
        <f ca="1">IF($C31-W$1&lt;År1,0,V30*(1-VLOOKUP($A31,[1]Hugst!$R$5:$W$9,MATCH(ROUNDUP((W$1)/10,0)*10,[1]Hugst!$R$4:$W$4,0))))</f>
        <v>373.71296530619003</v>
      </c>
      <c r="X31">
        <f ca="1">IF($C31-X$1&lt;År1,0,W30*(1-VLOOKUP($A31,[1]Hugst!$R$5:$W$9,MATCH(ROUNDUP((X$1)/10,0)*10,[1]Hugst!$R$4:$W$4,0))))</f>
        <v>374.22762193437535</v>
      </c>
      <c r="Y31">
        <f ca="1">IF($C31-Y$1&lt;År1,0,X30*(1-VLOOKUP($A31,[1]Hugst!$R$5:$W$9,MATCH(ROUNDUP((Y$1)/10,0)*10,[1]Hugst!$R$4:$W$4,0))))</f>
        <v>596.71456174648119</v>
      </c>
      <c r="Z31">
        <f ca="1">IF($C31-Z$1&lt;År1,0,Y30*(1-VLOOKUP($A31,[1]Hugst!$R$5:$W$9,MATCH(ROUNDUP((Z$1)/10,0)*10,[1]Hugst!$R$4:$W$4,0))))</f>
        <v>597.23440379914155</v>
      </c>
      <c r="AA31">
        <f ca="1">IF($C31-AA$1&lt;År1,0,Z30*(1-VLOOKUP($A31,[1]Hugst!$R$5:$W$9,MATCH(ROUNDUP((AA$1)/10,0)*10,[1]Hugst!$R$4:$W$4,0))))</f>
        <v>597.75685812343352</v>
      </c>
      <c r="AB31">
        <f ca="1">IF($C31-AB$1&lt;År1,0,AA30*(1-VLOOKUP($A31,[1]Hugst!$R$5:$W$9,MATCH(ROUNDUP((AB$1)/10,0)*10,[1]Hugst!$R$4:$W$4,0))))</f>
        <v>598.28193784633402</v>
      </c>
      <c r="AC31">
        <f ca="1">IF($C31-AC$1&lt;År1,0,AB30*(1-VLOOKUP($A31,[1]Hugst!$R$5:$W$9,MATCH(ROUNDUP((AC$1)/10,0)*10,[1]Hugst!$R$4:$W$4,0))))</f>
        <v>598.80965616080709</v>
      </c>
      <c r="AD31">
        <f ca="1">IF($C31-AD$1&lt;År1,0,AC30*(1-VLOOKUP($A31,[1]Hugst!$R$5:$W$9,MATCH(ROUNDUP((AD$1)/10,0)*10,[1]Hugst!$R$4:$W$4,0))))</f>
        <v>599.34002632610714</v>
      </c>
      <c r="AE31">
        <f ca="1">IF($C31-AE$1&lt;År1,0,AD30*(1-VLOOKUP($A31,[1]Hugst!$R$5:$W$9,MATCH(ROUNDUP((AE$1)/10,0)*10,[1]Hugst!$R$4:$W$4,0))))</f>
        <v>599.87306166811823</v>
      </c>
      <c r="AF31">
        <f ca="1">IF($C31-AF$1&lt;År1,0,AE30*(1-VLOOKUP($A31,[1]Hugst!$R$5:$W$9,MATCH(ROUNDUP((AF$1)/10,0)*10,[1]Hugst!$R$4:$W$4,0))))</f>
        <v>600.40877557968702</v>
      </c>
      <c r="AG31">
        <f ca="1">IF($C31-AG$1&lt;År1,0,AF30*(1-VLOOKUP($A31,[1]Hugst!$R$5:$W$9,MATCH(ROUNDUP((AG$1)/10,0)*10,[1]Hugst!$R$4:$W$4,0))))</f>
        <v>600.94718152096243</v>
      </c>
      <c r="AH31">
        <f ca="1">IF($C31-AH$1&lt;År1,0,AG30*(1-VLOOKUP($A31,[1]Hugst!$R$5:$W$9,MATCH(ROUNDUP((AH$1)/10,0)*10,[1]Hugst!$R$4:$W$4,0))))</f>
        <v>601.48829301972796</v>
      </c>
      <c r="AI31">
        <f ca="1">IF($C31-AI$1&lt;År1,0,AH30*(1-VLOOKUP($A31,[1]Hugst!$R$5:$W$9,MATCH(ROUNDUP((AI$1)/10,0)*10,[1]Hugst!$R$4:$W$4,0))))</f>
        <v>602.03212367175934</v>
      </c>
      <c r="AJ31">
        <f>IF($C31-AJ$1&lt;År1,0,AI30*(1-VLOOKUP($A31,[1]Hugst!$R$5:$W$9,MATCH(ROUNDUP((AJ$1)/10,0)*10,[1]Hugst!$R$4:$W$4,0))))</f>
        <v>0</v>
      </c>
    </row>
    <row r="32" spans="1:38" x14ac:dyDescent="0.55000000000000004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1.9854250887037779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366.8623806018548</v>
      </c>
      <c r="G32">
        <f ca="1">IF($C32-G$1&lt;År1,0,F31*(1-VLOOKUP($A32,[1]Hugst!$R$5:$W$9,MATCH(ROUNDUP((G$1)/10,0)*10,[1]Hugst!$R$4:$W$4,0))))</f>
        <v>365.34721008207845</v>
      </c>
      <c r="H32">
        <f ca="1">IF($C32-H$1&lt;År1,0,G31*(1-VLOOKUP($A32,[1]Hugst!$R$5:$W$9,MATCH(ROUNDUP((H$1)/10,0)*10,[1]Hugst!$R$4:$W$4,0))))</f>
        <v>365.81982773929332</v>
      </c>
      <c r="I32">
        <f ca="1">IF($C32-I$1&lt;År1,0,H31*(1-VLOOKUP($A32,[1]Hugst!$R$5:$W$9,MATCH(ROUNDUP((I$1)/10,0)*10,[1]Hugst!$R$4:$W$4,0))))</f>
        <v>366.29482035960683</v>
      </c>
      <c r="J32">
        <f ca="1">IF($C32-J$1&lt;År1,0,I31*(1-VLOOKUP($A32,[1]Hugst!$R$5:$W$9,MATCH(ROUNDUP((J$1)/10,0)*10,[1]Hugst!$R$4:$W$4,0))))</f>
        <v>366.77219987751897</v>
      </c>
      <c r="K32">
        <f ca="1">IF($C32-K$1&lt;År1,0,J31*(1-VLOOKUP($A32,[1]Hugst!$R$5:$W$9,MATCH(ROUNDUP((K$1)/10,0)*10,[1]Hugst!$R$4:$W$4,0))))</f>
        <v>367.25197828747179</v>
      </c>
      <c r="L32">
        <f ca="1">IF($C32-L$1&lt;År1,0,K31*(1-VLOOKUP($A32,[1]Hugst!$R$5:$W$9,MATCH(ROUNDUP((L$1)/10,0)*10,[1]Hugst!$R$4:$W$4,0))))</f>
        <v>367.73416764421137</v>
      </c>
      <c r="M32">
        <f ca="1">IF($C32-M$1&lt;År1,0,L31*(1-VLOOKUP($A32,[1]Hugst!$R$5:$W$9,MATCH(ROUNDUP((M$1)/10,0)*10,[1]Hugst!$R$4:$W$4,0))))</f>
        <v>368.21878006304479</v>
      </c>
      <c r="N32">
        <f ca="1">IF($C32-N$1&lt;År1,0,M31*(1-VLOOKUP($A32,[1]Hugst!$R$5:$W$9,MATCH(ROUNDUP((N$1)/10,0)*10,[1]Hugst!$R$4:$W$4,0))))</f>
        <v>368.70582772016525</v>
      </c>
      <c r="O32">
        <f ca="1">IF($C32-O$1&lt;År1,0,N31*(1-VLOOKUP($A32,[1]Hugst!$R$5:$W$9,MATCH(ROUNDUP((O$1)/10,0)*10,[1]Hugst!$R$4:$W$4,0))))</f>
        <v>369.19532285294991</v>
      </c>
      <c r="P32">
        <f ca="1">IF($C32-P$1&lt;År1,0,O31*(1-VLOOKUP($A32,[1]Hugst!$R$5:$W$9,MATCH(ROUNDUP((P$1)/10,0)*10,[1]Hugst!$R$4:$W$4,0))))</f>
        <v>369.68727776026782</v>
      </c>
      <c r="Q32">
        <f ca="1">IF($C32-Q$1&lt;År1,0,P31*(1-VLOOKUP($A32,[1]Hugst!$R$5:$W$9,MATCH(ROUNDUP((Q$1)/10,0)*10,[1]Hugst!$R$4:$W$4,0))))</f>
        <v>370.18170480279792</v>
      </c>
      <c r="R32">
        <f ca="1">IF($C32-R$1&lt;År1,0,Q31*(1-VLOOKUP($A32,[1]Hugst!$R$5:$W$9,MATCH(ROUNDUP((R$1)/10,0)*10,[1]Hugst!$R$4:$W$4,0))))</f>
        <v>370.67861640333882</v>
      </c>
      <c r="S32">
        <f ca="1">IF($C32-S$1&lt;År1,0,R31*(1-VLOOKUP($A32,[1]Hugst!$R$5:$W$9,MATCH(ROUNDUP((S$1)/10,0)*10,[1]Hugst!$R$4:$W$4,0))))</f>
        <v>371.17802504708953</v>
      </c>
      <c r="T32">
        <f ca="1">IF($C32-T$1&lt;År1,0,S31*(1-VLOOKUP($A32,[1]Hugst!$R$5:$W$9,MATCH(ROUNDUP((T$1)/10,0)*10,[1]Hugst!$R$4:$W$4,0))))</f>
        <v>371.679943282019</v>
      </c>
      <c r="U32">
        <f ca="1">IF($C32-U$1&lt;År1,0,T31*(1-VLOOKUP($A32,[1]Hugst!$R$5:$W$9,MATCH(ROUNDUP((U$1)/10,0)*10,[1]Hugst!$R$4:$W$4,0))))</f>
        <v>372.18438371913368</v>
      </c>
      <c r="V32">
        <f ca="1">IF($C32-V$1&lt;År1,0,U31*(1-VLOOKUP($A32,[1]Hugst!$R$5:$W$9,MATCH(ROUNDUP((V$1)/10,0)*10,[1]Hugst!$R$4:$W$4,0))))</f>
        <v>372.69135903281409</v>
      </c>
      <c r="W32">
        <f ca="1">IF($C32-W$1&lt;År1,0,V31*(1-VLOOKUP($A32,[1]Hugst!$R$5:$W$9,MATCH(ROUNDUP((W$1)/10,0)*10,[1]Hugst!$R$4:$W$4,0))))</f>
        <v>373.2008819611379</v>
      </c>
      <c r="X32">
        <f ca="1">IF($C32-X$1&lt;År1,0,W31*(1-VLOOKUP($A32,[1]Hugst!$R$5:$W$9,MATCH(ROUNDUP((X$1)/10,0)*10,[1]Hugst!$R$4:$W$4,0))))</f>
        <v>373.71296530619003</v>
      </c>
      <c r="Y32">
        <f ca="1">IF($C32-Y$1&lt;År1,0,X31*(1-VLOOKUP($A32,[1]Hugst!$R$5:$W$9,MATCH(ROUNDUP((Y$1)/10,0)*10,[1]Hugst!$R$4:$W$4,0))))</f>
        <v>374.22762193437535</v>
      </c>
      <c r="Z32">
        <f ca="1">IF($C32-Z$1&lt;År1,0,Y31*(1-VLOOKUP($A32,[1]Hugst!$R$5:$W$9,MATCH(ROUNDUP((Z$1)/10,0)*10,[1]Hugst!$R$4:$W$4,0))))</f>
        <v>596.71456174648119</v>
      </c>
      <c r="AA32">
        <f ca="1">IF($C32-AA$1&lt;År1,0,Z31*(1-VLOOKUP($A32,[1]Hugst!$R$5:$W$9,MATCH(ROUNDUP((AA$1)/10,0)*10,[1]Hugst!$R$4:$W$4,0))))</f>
        <v>597.23440379914155</v>
      </c>
      <c r="AB32">
        <f ca="1">IF($C32-AB$1&lt;År1,0,AA31*(1-VLOOKUP($A32,[1]Hugst!$R$5:$W$9,MATCH(ROUNDUP((AB$1)/10,0)*10,[1]Hugst!$R$4:$W$4,0))))</f>
        <v>597.75685812343352</v>
      </c>
      <c r="AC32">
        <f ca="1">IF($C32-AC$1&lt;År1,0,AB31*(1-VLOOKUP($A32,[1]Hugst!$R$5:$W$9,MATCH(ROUNDUP((AC$1)/10,0)*10,[1]Hugst!$R$4:$W$4,0))))</f>
        <v>598.28193784633402</v>
      </c>
      <c r="AD32">
        <f ca="1">IF($C32-AD$1&lt;År1,0,AC31*(1-VLOOKUP($A32,[1]Hugst!$R$5:$W$9,MATCH(ROUNDUP((AD$1)/10,0)*10,[1]Hugst!$R$4:$W$4,0))))</f>
        <v>598.80965616080709</v>
      </c>
      <c r="AE32">
        <f ca="1">IF($C32-AE$1&lt;År1,0,AD31*(1-VLOOKUP($A32,[1]Hugst!$R$5:$W$9,MATCH(ROUNDUP((AE$1)/10,0)*10,[1]Hugst!$R$4:$W$4,0))))</f>
        <v>599.34002632610714</v>
      </c>
      <c r="AF32">
        <f ca="1">IF($C32-AF$1&lt;År1,0,AE31*(1-VLOOKUP($A32,[1]Hugst!$R$5:$W$9,MATCH(ROUNDUP((AF$1)/10,0)*10,[1]Hugst!$R$4:$W$4,0))))</f>
        <v>599.87306166811823</v>
      </c>
      <c r="AG32">
        <f ca="1">IF($C32-AG$1&lt;År1,0,AF31*(1-VLOOKUP($A32,[1]Hugst!$R$5:$W$9,MATCH(ROUNDUP((AG$1)/10,0)*10,[1]Hugst!$R$4:$W$4,0))))</f>
        <v>600.40877557968702</v>
      </c>
      <c r="AH32">
        <f ca="1">IF($C32-AH$1&lt;År1,0,AG31*(1-VLOOKUP($A32,[1]Hugst!$R$5:$W$9,MATCH(ROUNDUP((AH$1)/10,0)*10,[1]Hugst!$R$4:$W$4,0))))</f>
        <v>600.94718152096243</v>
      </c>
      <c r="AI32">
        <f ca="1">IF($C32-AI$1&lt;År1,0,AH31*(1-VLOOKUP($A32,[1]Hugst!$R$5:$W$9,MATCH(ROUNDUP((AI$1)/10,0)*10,[1]Hugst!$R$4:$W$4,0))))</f>
        <v>601.48829301972796</v>
      </c>
      <c r="AJ32">
        <f ca="1">IF($C32-AJ$1&lt;År1,0,AI31*(1-VLOOKUP($A32,[1]Hugst!$R$5:$W$9,MATCH(ROUNDUP((AJ$1)/10,0)*10,[1]Hugst!$R$4:$W$4,0))))</f>
        <v>600.04669858305454</v>
      </c>
      <c r="AL32">
        <f ca="1">SUM(F32:AJ32)</f>
        <v>13982.526748851215</v>
      </c>
    </row>
    <row r="33" spans="1:36" x14ac:dyDescent="0.55000000000000004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106.75219451005873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55000000000000004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106.59301266208753</v>
      </c>
      <c r="G34">
        <f ca="1">IF($C34-G$1&lt;År1,0,F33*(1-VLOOKUP($A34,[1]Hugst!$R$5:$W$9,MATCH(ROUNDUP((G$1)/10,0)*10,[1]Hugst!$R$4:$W$4,0))))</f>
        <v>106.75219451005873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55000000000000004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106.4346267233563</v>
      </c>
      <c r="G35">
        <f ca="1">IF($C35-G$1&lt;År1,0,F34*(1-VLOOKUP($A35,[1]Hugst!$R$5:$W$9,MATCH(ROUNDUP((G$1)/10,0)*10,[1]Hugst!$R$4:$W$4,0))))</f>
        <v>106.59301266208753</v>
      </c>
      <c r="H35">
        <f ca="1">IF($C35-H$1&lt;År1,0,G34*(1-VLOOKUP($A35,[1]Hugst!$R$5:$W$9,MATCH(ROUNDUP((H$1)/10,0)*10,[1]Hugst!$R$4:$W$4,0))))</f>
        <v>106.75219451005873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55000000000000004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106.27703271431785</v>
      </c>
      <c r="G36">
        <f ca="1">IF($C36-G$1&lt;År1,0,F35*(1-VLOOKUP($A36,[1]Hugst!$R$5:$W$9,MATCH(ROUNDUP((G$1)/10,0)*10,[1]Hugst!$R$4:$W$4,0))))</f>
        <v>106.4346267233563</v>
      </c>
      <c r="H36">
        <f ca="1">IF($C36-H$1&lt;År1,0,G35*(1-VLOOKUP($A36,[1]Hugst!$R$5:$W$9,MATCH(ROUNDUP((H$1)/10,0)*10,[1]Hugst!$R$4:$W$4,0))))</f>
        <v>106.59301266208753</v>
      </c>
      <c r="I36">
        <f ca="1">IF($C36-I$1&lt;År1,0,H35*(1-VLOOKUP($A36,[1]Hugst!$R$5:$W$9,MATCH(ROUNDUP((I$1)/10,0)*10,[1]Hugst!$R$4:$W$4,0))))</f>
        <v>106.75219451005873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55000000000000004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106.12022667532625</v>
      </c>
      <c r="G37">
        <f ca="1">IF($C37-G$1&lt;År1,0,F36*(1-VLOOKUP($A37,[1]Hugst!$R$5:$W$9,MATCH(ROUNDUP((G$1)/10,0)*10,[1]Hugst!$R$4:$W$4,0))))</f>
        <v>106.27703271431785</v>
      </c>
      <c r="H37">
        <f ca="1">IF($C37-H$1&lt;År1,0,G36*(1-VLOOKUP($A37,[1]Hugst!$R$5:$W$9,MATCH(ROUNDUP((H$1)/10,0)*10,[1]Hugst!$R$4:$W$4,0))))</f>
        <v>106.4346267233563</v>
      </c>
      <c r="I37">
        <f ca="1">IF($C37-I$1&lt;År1,0,H36*(1-VLOOKUP($A37,[1]Hugst!$R$5:$W$9,MATCH(ROUNDUP((I$1)/10,0)*10,[1]Hugst!$R$4:$W$4,0))))</f>
        <v>106.59301266208753</v>
      </c>
      <c r="J37">
        <f ca="1">IF($C37-J$1&lt;År1,0,I36*(1-VLOOKUP($A37,[1]Hugst!$R$5:$W$9,MATCH(ROUNDUP((J$1)/10,0)*10,[1]Hugst!$R$4:$W$4,0))))</f>
        <v>106.75219451005873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55000000000000004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105.96420466652819</v>
      </c>
      <c r="G38">
        <f ca="1">IF($C38-G$1&lt;År1,0,F37*(1-VLOOKUP($A38,[1]Hugst!$R$5:$W$9,MATCH(ROUNDUP((G$1)/10,0)*10,[1]Hugst!$R$4:$W$4,0))))</f>
        <v>106.12022667532625</v>
      </c>
      <c r="H38">
        <f ca="1">IF($C38-H$1&lt;År1,0,G37*(1-VLOOKUP($A38,[1]Hugst!$R$5:$W$9,MATCH(ROUNDUP((H$1)/10,0)*10,[1]Hugst!$R$4:$W$4,0))))</f>
        <v>106.27703271431785</v>
      </c>
      <c r="I38">
        <f ca="1">IF($C38-I$1&lt;År1,0,H37*(1-VLOOKUP($A38,[1]Hugst!$R$5:$W$9,MATCH(ROUNDUP((I$1)/10,0)*10,[1]Hugst!$R$4:$W$4,0))))</f>
        <v>106.4346267233563</v>
      </c>
      <c r="J38">
        <f ca="1">IF($C38-J$1&lt;År1,0,I37*(1-VLOOKUP($A38,[1]Hugst!$R$5:$W$9,MATCH(ROUNDUP((J$1)/10,0)*10,[1]Hugst!$R$4:$W$4,0))))</f>
        <v>106.59301266208753</v>
      </c>
      <c r="K38">
        <f ca="1">IF($C38-K$1&lt;År1,0,J37*(1-VLOOKUP($A38,[1]Hugst!$R$5:$W$9,MATCH(ROUNDUP((K$1)/10,0)*10,[1]Hugst!$R$4:$W$4,0))))</f>
        <v>106.75219451005873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55000000000000004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105.80896276777605</v>
      </c>
      <c r="G39">
        <f ca="1">IF($C39-G$1&lt;År1,0,F38*(1-VLOOKUP($A39,[1]Hugst!$R$5:$W$9,MATCH(ROUNDUP((G$1)/10,0)*10,[1]Hugst!$R$4:$W$4,0))))</f>
        <v>105.96420466652819</v>
      </c>
      <c r="H39">
        <f ca="1">IF($C39-H$1&lt;År1,0,G38*(1-VLOOKUP($A39,[1]Hugst!$R$5:$W$9,MATCH(ROUNDUP((H$1)/10,0)*10,[1]Hugst!$R$4:$W$4,0))))</f>
        <v>106.12022667532625</v>
      </c>
      <c r="I39">
        <f ca="1">IF($C39-I$1&lt;År1,0,H38*(1-VLOOKUP($A39,[1]Hugst!$R$5:$W$9,MATCH(ROUNDUP((I$1)/10,0)*10,[1]Hugst!$R$4:$W$4,0))))</f>
        <v>106.27703271431785</v>
      </c>
      <c r="J39">
        <f ca="1">IF($C39-J$1&lt;År1,0,I38*(1-VLOOKUP($A39,[1]Hugst!$R$5:$W$9,MATCH(ROUNDUP((J$1)/10,0)*10,[1]Hugst!$R$4:$W$4,0))))</f>
        <v>106.4346267233563</v>
      </c>
      <c r="K39">
        <f ca="1">IF($C39-K$1&lt;År1,0,J38*(1-VLOOKUP($A39,[1]Hugst!$R$5:$W$9,MATCH(ROUNDUP((K$1)/10,0)*10,[1]Hugst!$R$4:$W$4,0))))</f>
        <v>106.59301266208753</v>
      </c>
      <c r="L39">
        <f ca="1">IF($C39-L$1&lt;År1,0,K38*(1-VLOOKUP($A39,[1]Hugst!$R$5:$W$9,MATCH(ROUNDUP((L$1)/10,0)*10,[1]Hugst!$R$4:$W$4,0))))</f>
        <v>106.75219451005873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55000000000000004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105.65449707851479</v>
      </c>
      <c r="G40">
        <f ca="1">IF($C40-G$1&lt;År1,0,F39*(1-VLOOKUP($A40,[1]Hugst!$R$5:$W$9,MATCH(ROUNDUP((G$1)/10,0)*10,[1]Hugst!$R$4:$W$4,0))))</f>
        <v>105.80896276777605</v>
      </c>
      <c r="H40">
        <f ca="1">IF($C40-H$1&lt;År1,0,G39*(1-VLOOKUP($A40,[1]Hugst!$R$5:$W$9,MATCH(ROUNDUP((H$1)/10,0)*10,[1]Hugst!$R$4:$W$4,0))))</f>
        <v>105.96420466652819</v>
      </c>
      <c r="I40">
        <f ca="1">IF($C40-I$1&lt;År1,0,H39*(1-VLOOKUP($A40,[1]Hugst!$R$5:$W$9,MATCH(ROUNDUP((I$1)/10,0)*10,[1]Hugst!$R$4:$W$4,0))))</f>
        <v>106.12022667532625</v>
      </c>
      <c r="J40">
        <f ca="1">IF($C40-J$1&lt;År1,0,I39*(1-VLOOKUP($A40,[1]Hugst!$R$5:$W$9,MATCH(ROUNDUP((J$1)/10,0)*10,[1]Hugst!$R$4:$W$4,0))))</f>
        <v>106.27703271431785</v>
      </c>
      <c r="K40">
        <f ca="1">IF($C40-K$1&lt;År1,0,J39*(1-VLOOKUP($A40,[1]Hugst!$R$5:$W$9,MATCH(ROUNDUP((K$1)/10,0)*10,[1]Hugst!$R$4:$W$4,0))))</f>
        <v>106.4346267233563</v>
      </c>
      <c r="L40">
        <f ca="1">IF($C40-L$1&lt;År1,0,K39*(1-VLOOKUP($A40,[1]Hugst!$R$5:$W$9,MATCH(ROUNDUP((L$1)/10,0)*10,[1]Hugst!$R$4:$W$4,0))))</f>
        <v>106.59301266208753</v>
      </c>
      <c r="M40">
        <f ca="1">IF($C40-M$1&lt;År1,0,L39*(1-VLOOKUP($A40,[1]Hugst!$R$5:$W$9,MATCH(ROUNDUP((M$1)/10,0)*10,[1]Hugst!$R$4:$W$4,0))))</f>
        <v>106.75219451005873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55000000000000004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105.50080371770207</v>
      </c>
      <c r="G41">
        <f ca="1">IF($C41-G$1&lt;År1,0,F40*(1-VLOOKUP($A41,[1]Hugst!$R$5:$W$9,MATCH(ROUNDUP((G$1)/10,0)*10,[1]Hugst!$R$4:$W$4,0))))</f>
        <v>105.65449707851479</v>
      </c>
      <c r="H41">
        <f ca="1">IF($C41-H$1&lt;År1,0,G40*(1-VLOOKUP($A41,[1]Hugst!$R$5:$W$9,MATCH(ROUNDUP((H$1)/10,0)*10,[1]Hugst!$R$4:$W$4,0))))</f>
        <v>105.80896276777605</v>
      </c>
      <c r="I41">
        <f ca="1">IF($C41-I$1&lt;År1,0,H40*(1-VLOOKUP($A41,[1]Hugst!$R$5:$W$9,MATCH(ROUNDUP((I$1)/10,0)*10,[1]Hugst!$R$4:$W$4,0))))</f>
        <v>105.96420466652819</v>
      </c>
      <c r="J41">
        <f ca="1">IF($C41-J$1&lt;År1,0,I40*(1-VLOOKUP($A41,[1]Hugst!$R$5:$W$9,MATCH(ROUNDUP((J$1)/10,0)*10,[1]Hugst!$R$4:$W$4,0))))</f>
        <v>106.12022667532625</v>
      </c>
      <c r="K41">
        <f ca="1">IF($C41-K$1&lt;År1,0,J40*(1-VLOOKUP($A41,[1]Hugst!$R$5:$W$9,MATCH(ROUNDUP((K$1)/10,0)*10,[1]Hugst!$R$4:$W$4,0))))</f>
        <v>106.27703271431785</v>
      </c>
      <c r="L41">
        <f ca="1">IF($C41-L$1&lt;År1,0,K40*(1-VLOOKUP($A41,[1]Hugst!$R$5:$W$9,MATCH(ROUNDUP((L$1)/10,0)*10,[1]Hugst!$R$4:$W$4,0))))</f>
        <v>106.4346267233563</v>
      </c>
      <c r="M41">
        <f ca="1">IF($C41-M$1&lt;År1,0,L40*(1-VLOOKUP($A41,[1]Hugst!$R$5:$W$9,MATCH(ROUNDUP((M$1)/10,0)*10,[1]Hugst!$R$4:$W$4,0))))</f>
        <v>106.59301266208753</v>
      </c>
      <c r="N41">
        <f ca="1">IF($C41-N$1&lt;År1,0,M40*(1-VLOOKUP($A41,[1]Hugst!$R$5:$W$9,MATCH(ROUNDUP((N$1)/10,0)*10,[1]Hugst!$R$4:$W$4,0))))</f>
        <v>106.75219451005873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55000000000000004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105.34787882369238</v>
      </c>
      <c r="G42">
        <f ca="1">IF($C42-G$1&lt;År1,0,F41*(1-VLOOKUP($A42,[1]Hugst!$R$5:$W$9,MATCH(ROUNDUP((G$1)/10,0)*10,[1]Hugst!$R$4:$W$4,0))))</f>
        <v>105.50080371770207</v>
      </c>
      <c r="H42">
        <f ca="1">IF($C42-H$1&lt;År1,0,G41*(1-VLOOKUP($A42,[1]Hugst!$R$5:$W$9,MATCH(ROUNDUP((H$1)/10,0)*10,[1]Hugst!$R$4:$W$4,0))))</f>
        <v>105.65449707851479</v>
      </c>
      <c r="I42">
        <f ca="1">IF($C42-I$1&lt;År1,0,H41*(1-VLOOKUP($A42,[1]Hugst!$R$5:$W$9,MATCH(ROUNDUP((I$1)/10,0)*10,[1]Hugst!$R$4:$W$4,0))))</f>
        <v>105.80896276777605</v>
      </c>
      <c r="J42">
        <f ca="1">IF($C42-J$1&lt;År1,0,I41*(1-VLOOKUP($A42,[1]Hugst!$R$5:$W$9,MATCH(ROUNDUP((J$1)/10,0)*10,[1]Hugst!$R$4:$W$4,0))))</f>
        <v>105.96420466652819</v>
      </c>
      <c r="K42">
        <f ca="1">IF($C42-K$1&lt;År1,0,J41*(1-VLOOKUP($A42,[1]Hugst!$R$5:$W$9,MATCH(ROUNDUP((K$1)/10,0)*10,[1]Hugst!$R$4:$W$4,0))))</f>
        <v>106.12022667532625</v>
      </c>
      <c r="L42">
        <f ca="1">IF($C42-L$1&lt;År1,0,K41*(1-VLOOKUP($A42,[1]Hugst!$R$5:$W$9,MATCH(ROUNDUP((L$1)/10,0)*10,[1]Hugst!$R$4:$W$4,0))))</f>
        <v>106.27703271431785</v>
      </c>
      <c r="M42">
        <f ca="1">IF($C42-M$1&lt;År1,0,L41*(1-VLOOKUP($A42,[1]Hugst!$R$5:$W$9,MATCH(ROUNDUP((M$1)/10,0)*10,[1]Hugst!$R$4:$W$4,0))))</f>
        <v>106.4346267233563</v>
      </c>
      <c r="N42">
        <f ca="1">IF($C42-N$1&lt;År1,0,M41*(1-VLOOKUP($A42,[1]Hugst!$R$5:$W$9,MATCH(ROUNDUP((N$1)/10,0)*10,[1]Hugst!$R$4:$W$4,0))))</f>
        <v>106.59301266208753</v>
      </c>
      <c r="O42">
        <f ca="1">IF($C42-O$1&lt;År1,0,N41*(1-VLOOKUP($A42,[1]Hugst!$R$5:$W$9,MATCH(ROUNDUP((O$1)/10,0)*10,[1]Hugst!$R$4:$W$4,0))))</f>
        <v>106.75219451005873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55000000000000004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105.19571855415381</v>
      </c>
      <c r="G43">
        <f ca="1">IF($C43-G$1&lt;År1,0,F42*(1-VLOOKUP($A43,[1]Hugst!$R$5:$W$9,MATCH(ROUNDUP((G$1)/10,0)*10,[1]Hugst!$R$4:$W$4,0))))</f>
        <v>105.34787882369238</v>
      </c>
      <c r="H43">
        <f ca="1">IF($C43-H$1&lt;År1,0,G42*(1-VLOOKUP($A43,[1]Hugst!$R$5:$W$9,MATCH(ROUNDUP((H$1)/10,0)*10,[1]Hugst!$R$4:$W$4,0))))</f>
        <v>105.50080371770207</v>
      </c>
      <c r="I43">
        <f ca="1">IF($C43-I$1&lt;År1,0,H42*(1-VLOOKUP($A43,[1]Hugst!$R$5:$W$9,MATCH(ROUNDUP((I$1)/10,0)*10,[1]Hugst!$R$4:$W$4,0))))</f>
        <v>105.65449707851479</v>
      </c>
      <c r="J43">
        <f ca="1">IF($C43-J$1&lt;År1,0,I42*(1-VLOOKUP($A43,[1]Hugst!$R$5:$W$9,MATCH(ROUNDUP((J$1)/10,0)*10,[1]Hugst!$R$4:$W$4,0))))</f>
        <v>105.80896276777605</v>
      </c>
      <c r="K43">
        <f ca="1">IF($C43-K$1&lt;År1,0,J42*(1-VLOOKUP($A43,[1]Hugst!$R$5:$W$9,MATCH(ROUNDUP((K$1)/10,0)*10,[1]Hugst!$R$4:$W$4,0))))</f>
        <v>105.96420466652819</v>
      </c>
      <c r="L43">
        <f ca="1">IF($C43-L$1&lt;År1,0,K42*(1-VLOOKUP($A43,[1]Hugst!$R$5:$W$9,MATCH(ROUNDUP((L$1)/10,0)*10,[1]Hugst!$R$4:$W$4,0))))</f>
        <v>106.12022667532625</v>
      </c>
      <c r="M43">
        <f ca="1">IF($C43-M$1&lt;År1,0,L42*(1-VLOOKUP($A43,[1]Hugst!$R$5:$W$9,MATCH(ROUNDUP((M$1)/10,0)*10,[1]Hugst!$R$4:$W$4,0))))</f>
        <v>106.27703271431785</v>
      </c>
      <c r="N43">
        <f ca="1">IF($C43-N$1&lt;År1,0,M42*(1-VLOOKUP($A43,[1]Hugst!$R$5:$W$9,MATCH(ROUNDUP((N$1)/10,0)*10,[1]Hugst!$R$4:$W$4,0))))</f>
        <v>106.4346267233563</v>
      </c>
      <c r="O43">
        <f ca="1">IF($C43-O$1&lt;År1,0,N42*(1-VLOOKUP($A43,[1]Hugst!$R$5:$W$9,MATCH(ROUNDUP((O$1)/10,0)*10,[1]Hugst!$R$4:$W$4,0))))</f>
        <v>106.59301266208753</v>
      </c>
      <c r="P43">
        <f ca="1">IF($C43-P$1&lt;År1,0,O42*(1-VLOOKUP($A43,[1]Hugst!$R$5:$W$9,MATCH(ROUNDUP((P$1)/10,0)*10,[1]Hugst!$R$4:$W$4,0))))</f>
        <v>106.75219451005873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55000000000000004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71.332197873839419</v>
      </c>
      <c r="G44">
        <f ca="1">IF($C44-G$1&lt;År1,0,F43*(1-VLOOKUP($A44,[1]Hugst!$R$5:$W$9,MATCH(ROUNDUP((G$1)/10,0)*10,[1]Hugst!$R$4:$W$4,0))))</f>
        <v>105.19571855415381</v>
      </c>
      <c r="H44">
        <f ca="1">IF($C44-H$1&lt;År1,0,G43*(1-VLOOKUP($A44,[1]Hugst!$R$5:$W$9,MATCH(ROUNDUP((H$1)/10,0)*10,[1]Hugst!$R$4:$W$4,0))))</f>
        <v>105.34787882369238</v>
      </c>
      <c r="I44">
        <f ca="1">IF($C44-I$1&lt;År1,0,H43*(1-VLOOKUP($A44,[1]Hugst!$R$5:$W$9,MATCH(ROUNDUP((I$1)/10,0)*10,[1]Hugst!$R$4:$W$4,0))))</f>
        <v>105.50080371770207</v>
      </c>
      <c r="J44">
        <f ca="1">IF($C44-J$1&lt;År1,0,I43*(1-VLOOKUP($A44,[1]Hugst!$R$5:$W$9,MATCH(ROUNDUP((J$1)/10,0)*10,[1]Hugst!$R$4:$W$4,0))))</f>
        <v>105.65449707851479</v>
      </c>
      <c r="K44">
        <f ca="1">IF($C44-K$1&lt;År1,0,J43*(1-VLOOKUP($A44,[1]Hugst!$R$5:$W$9,MATCH(ROUNDUP((K$1)/10,0)*10,[1]Hugst!$R$4:$W$4,0))))</f>
        <v>105.80896276777605</v>
      </c>
      <c r="L44">
        <f ca="1">IF($C44-L$1&lt;År1,0,K43*(1-VLOOKUP($A44,[1]Hugst!$R$5:$W$9,MATCH(ROUNDUP((L$1)/10,0)*10,[1]Hugst!$R$4:$W$4,0))))</f>
        <v>105.96420466652819</v>
      </c>
      <c r="M44">
        <f ca="1">IF($C44-M$1&lt;År1,0,L43*(1-VLOOKUP($A44,[1]Hugst!$R$5:$W$9,MATCH(ROUNDUP((M$1)/10,0)*10,[1]Hugst!$R$4:$W$4,0))))</f>
        <v>106.12022667532625</v>
      </c>
      <c r="N44">
        <f ca="1">IF($C44-N$1&lt;År1,0,M43*(1-VLOOKUP($A44,[1]Hugst!$R$5:$W$9,MATCH(ROUNDUP((N$1)/10,0)*10,[1]Hugst!$R$4:$W$4,0))))</f>
        <v>106.27703271431785</v>
      </c>
      <c r="O44">
        <f ca="1">IF($C44-O$1&lt;År1,0,N43*(1-VLOOKUP($A44,[1]Hugst!$R$5:$W$9,MATCH(ROUNDUP((O$1)/10,0)*10,[1]Hugst!$R$4:$W$4,0))))</f>
        <v>106.4346267233563</v>
      </c>
      <c r="P44">
        <f ca="1">IF($C44-P$1&lt;År1,0,O43*(1-VLOOKUP($A44,[1]Hugst!$R$5:$W$9,MATCH(ROUNDUP((P$1)/10,0)*10,[1]Hugst!$R$4:$W$4,0))))</f>
        <v>106.59301266208753</v>
      </c>
      <c r="Q44">
        <f ca="1">IF($C44-Q$1&lt;År1,0,P43*(1-VLOOKUP($A44,[1]Hugst!$R$5:$W$9,MATCH(ROUNDUP((Q$1)/10,0)*10,[1]Hugst!$R$4:$W$4,0))))</f>
        <v>106.75219451005873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55000000000000004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71.181555402989858</v>
      </c>
      <c r="G45">
        <f ca="1">IF($C45-G$1&lt;År1,0,F44*(1-VLOOKUP($A45,[1]Hugst!$R$5:$W$9,MATCH(ROUNDUP((G$1)/10,0)*10,[1]Hugst!$R$4:$W$4,0))))</f>
        <v>71.332197873839419</v>
      </c>
      <c r="H45">
        <f ca="1">IF($C45-H$1&lt;År1,0,G44*(1-VLOOKUP($A45,[1]Hugst!$R$5:$W$9,MATCH(ROUNDUP((H$1)/10,0)*10,[1]Hugst!$R$4:$W$4,0))))</f>
        <v>105.19571855415381</v>
      </c>
      <c r="I45">
        <f ca="1">IF($C45-I$1&lt;År1,0,H44*(1-VLOOKUP($A45,[1]Hugst!$R$5:$W$9,MATCH(ROUNDUP((I$1)/10,0)*10,[1]Hugst!$R$4:$W$4,0))))</f>
        <v>105.34787882369238</v>
      </c>
      <c r="J45">
        <f ca="1">IF($C45-J$1&lt;År1,0,I44*(1-VLOOKUP($A45,[1]Hugst!$R$5:$W$9,MATCH(ROUNDUP((J$1)/10,0)*10,[1]Hugst!$R$4:$W$4,0))))</f>
        <v>105.50080371770207</v>
      </c>
      <c r="K45">
        <f ca="1">IF($C45-K$1&lt;År1,0,J44*(1-VLOOKUP($A45,[1]Hugst!$R$5:$W$9,MATCH(ROUNDUP((K$1)/10,0)*10,[1]Hugst!$R$4:$W$4,0))))</f>
        <v>105.65449707851479</v>
      </c>
      <c r="L45">
        <f ca="1">IF($C45-L$1&lt;År1,0,K44*(1-VLOOKUP($A45,[1]Hugst!$R$5:$W$9,MATCH(ROUNDUP((L$1)/10,0)*10,[1]Hugst!$R$4:$W$4,0))))</f>
        <v>105.80896276777605</v>
      </c>
      <c r="M45">
        <f ca="1">IF($C45-M$1&lt;År1,0,L44*(1-VLOOKUP($A45,[1]Hugst!$R$5:$W$9,MATCH(ROUNDUP((M$1)/10,0)*10,[1]Hugst!$R$4:$W$4,0))))</f>
        <v>105.96420466652819</v>
      </c>
      <c r="N45">
        <f ca="1">IF($C45-N$1&lt;År1,0,M44*(1-VLOOKUP($A45,[1]Hugst!$R$5:$W$9,MATCH(ROUNDUP((N$1)/10,0)*10,[1]Hugst!$R$4:$W$4,0))))</f>
        <v>106.12022667532625</v>
      </c>
      <c r="O45">
        <f ca="1">IF($C45-O$1&lt;År1,0,N44*(1-VLOOKUP($A45,[1]Hugst!$R$5:$W$9,MATCH(ROUNDUP((O$1)/10,0)*10,[1]Hugst!$R$4:$W$4,0))))</f>
        <v>106.27703271431785</v>
      </c>
      <c r="P45">
        <f ca="1">IF($C45-P$1&lt;År1,0,O44*(1-VLOOKUP($A45,[1]Hugst!$R$5:$W$9,MATCH(ROUNDUP((P$1)/10,0)*10,[1]Hugst!$R$4:$W$4,0))))</f>
        <v>106.4346267233563</v>
      </c>
      <c r="Q45">
        <f ca="1">IF($C45-Q$1&lt;År1,0,P44*(1-VLOOKUP($A45,[1]Hugst!$R$5:$W$9,MATCH(ROUNDUP((Q$1)/10,0)*10,[1]Hugst!$R$4:$W$4,0))))</f>
        <v>106.59301266208753</v>
      </c>
      <c r="R45">
        <f ca="1">IF($C45-R$1&lt;År1,0,Q44*(1-VLOOKUP($A45,[1]Hugst!$R$5:$W$9,MATCH(ROUNDUP((R$1)/10,0)*10,[1]Hugst!$R$4:$W$4,0))))</f>
        <v>106.75219451005873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55000000000000004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71.031666144492959</v>
      </c>
      <c r="G46">
        <f ca="1">IF($C46-G$1&lt;År1,0,F45*(1-VLOOKUP($A46,[1]Hugst!$R$5:$W$9,MATCH(ROUNDUP((G$1)/10,0)*10,[1]Hugst!$R$4:$W$4,0))))</f>
        <v>71.181555402989858</v>
      </c>
      <c r="H46">
        <f ca="1">IF($C46-H$1&lt;År1,0,G45*(1-VLOOKUP($A46,[1]Hugst!$R$5:$W$9,MATCH(ROUNDUP((H$1)/10,0)*10,[1]Hugst!$R$4:$W$4,0))))</f>
        <v>71.332197873839419</v>
      </c>
      <c r="I46">
        <f ca="1">IF($C46-I$1&lt;År1,0,H45*(1-VLOOKUP($A46,[1]Hugst!$R$5:$W$9,MATCH(ROUNDUP((I$1)/10,0)*10,[1]Hugst!$R$4:$W$4,0))))</f>
        <v>105.19571855415381</v>
      </c>
      <c r="J46">
        <f ca="1">IF($C46-J$1&lt;År1,0,I45*(1-VLOOKUP($A46,[1]Hugst!$R$5:$W$9,MATCH(ROUNDUP((J$1)/10,0)*10,[1]Hugst!$R$4:$W$4,0))))</f>
        <v>105.34787882369238</v>
      </c>
      <c r="K46">
        <f ca="1">IF($C46-K$1&lt;År1,0,J45*(1-VLOOKUP($A46,[1]Hugst!$R$5:$W$9,MATCH(ROUNDUP((K$1)/10,0)*10,[1]Hugst!$R$4:$W$4,0))))</f>
        <v>105.50080371770207</v>
      </c>
      <c r="L46">
        <f ca="1">IF($C46-L$1&lt;År1,0,K45*(1-VLOOKUP($A46,[1]Hugst!$R$5:$W$9,MATCH(ROUNDUP((L$1)/10,0)*10,[1]Hugst!$R$4:$W$4,0))))</f>
        <v>105.65449707851479</v>
      </c>
      <c r="M46">
        <f ca="1">IF($C46-M$1&lt;År1,0,L45*(1-VLOOKUP($A46,[1]Hugst!$R$5:$W$9,MATCH(ROUNDUP((M$1)/10,0)*10,[1]Hugst!$R$4:$W$4,0))))</f>
        <v>105.80896276777605</v>
      </c>
      <c r="N46">
        <f ca="1">IF($C46-N$1&lt;År1,0,M45*(1-VLOOKUP($A46,[1]Hugst!$R$5:$W$9,MATCH(ROUNDUP((N$1)/10,0)*10,[1]Hugst!$R$4:$W$4,0))))</f>
        <v>105.96420466652819</v>
      </c>
      <c r="O46">
        <f ca="1">IF($C46-O$1&lt;År1,0,N45*(1-VLOOKUP($A46,[1]Hugst!$R$5:$W$9,MATCH(ROUNDUP((O$1)/10,0)*10,[1]Hugst!$R$4:$W$4,0))))</f>
        <v>106.12022667532625</v>
      </c>
      <c r="P46">
        <f ca="1">IF($C46-P$1&lt;År1,0,O45*(1-VLOOKUP($A46,[1]Hugst!$R$5:$W$9,MATCH(ROUNDUP((P$1)/10,0)*10,[1]Hugst!$R$4:$W$4,0))))</f>
        <v>106.27703271431785</v>
      </c>
      <c r="Q46">
        <f ca="1">IF($C46-Q$1&lt;År1,0,P45*(1-VLOOKUP($A46,[1]Hugst!$R$5:$W$9,MATCH(ROUNDUP((Q$1)/10,0)*10,[1]Hugst!$R$4:$W$4,0))))</f>
        <v>106.4346267233563</v>
      </c>
      <c r="R46">
        <f ca="1">IF($C46-R$1&lt;År1,0,Q45*(1-VLOOKUP($A46,[1]Hugst!$R$5:$W$9,MATCH(ROUNDUP((R$1)/10,0)*10,[1]Hugst!$R$4:$W$4,0))))</f>
        <v>106.59301266208753</v>
      </c>
      <c r="S46">
        <f ca="1">IF($C46-S$1&lt;År1,0,R45*(1-VLOOKUP($A46,[1]Hugst!$R$5:$W$9,MATCH(ROUNDUP((S$1)/10,0)*10,[1]Hugst!$R$4:$W$4,0))))</f>
        <v>106.75219451005873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55000000000000004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70.882526332289189</v>
      </c>
      <c r="G47">
        <f ca="1">IF($C47-G$1&lt;År1,0,F46*(1-VLOOKUP($A47,[1]Hugst!$R$5:$W$9,MATCH(ROUNDUP((G$1)/10,0)*10,[1]Hugst!$R$4:$W$4,0))))</f>
        <v>71.031666144492959</v>
      </c>
      <c r="H47">
        <f ca="1">IF($C47-H$1&lt;År1,0,G46*(1-VLOOKUP($A47,[1]Hugst!$R$5:$W$9,MATCH(ROUNDUP((H$1)/10,0)*10,[1]Hugst!$R$4:$W$4,0))))</f>
        <v>71.181555402989858</v>
      </c>
      <c r="I47">
        <f ca="1">IF($C47-I$1&lt;År1,0,H46*(1-VLOOKUP($A47,[1]Hugst!$R$5:$W$9,MATCH(ROUNDUP((I$1)/10,0)*10,[1]Hugst!$R$4:$W$4,0))))</f>
        <v>71.332197873839419</v>
      </c>
      <c r="J47">
        <f ca="1">IF($C47-J$1&lt;År1,0,I46*(1-VLOOKUP($A47,[1]Hugst!$R$5:$W$9,MATCH(ROUNDUP((J$1)/10,0)*10,[1]Hugst!$R$4:$W$4,0))))</f>
        <v>105.19571855415381</v>
      </c>
      <c r="K47">
        <f ca="1">IF($C47-K$1&lt;År1,0,J46*(1-VLOOKUP($A47,[1]Hugst!$R$5:$W$9,MATCH(ROUNDUP((K$1)/10,0)*10,[1]Hugst!$R$4:$W$4,0))))</f>
        <v>105.34787882369238</v>
      </c>
      <c r="L47">
        <f ca="1">IF($C47-L$1&lt;År1,0,K46*(1-VLOOKUP($A47,[1]Hugst!$R$5:$W$9,MATCH(ROUNDUP((L$1)/10,0)*10,[1]Hugst!$R$4:$W$4,0))))</f>
        <v>105.50080371770207</v>
      </c>
      <c r="M47">
        <f ca="1">IF($C47-M$1&lt;År1,0,L46*(1-VLOOKUP($A47,[1]Hugst!$R$5:$W$9,MATCH(ROUNDUP((M$1)/10,0)*10,[1]Hugst!$R$4:$W$4,0))))</f>
        <v>105.65449707851479</v>
      </c>
      <c r="N47">
        <f ca="1">IF($C47-N$1&lt;År1,0,M46*(1-VLOOKUP($A47,[1]Hugst!$R$5:$W$9,MATCH(ROUNDUP((N$1)/10,0)*10,[1]Hugst!$R$4:$W$4,0))))</f>
        <v>105.80896276777605</v>
      </c>
      <c r="O47">
        <f ca="1">IF($C47-O$1&lt;År1,0,N46*(1-VLOOKUP($A47,[1]Hugst!$R$5:$W$9,MATCH(ROUNDUP((O$1)/10,0)*10,[1]Hugst!$R$4:$W$4,0))))</f>
        <v>105.96420466652819</v>
      </c>
      <c r="P47">
        <f ca="1">IF($C47-P$1&lt;År1,0,O46*(1-VLOOKUP($A47,[1]Hugst!$R$5:$W$9,MATCH(ROUNDUP((P$1)/10,0)*10,[1]Hugst!$R$4:$W$4,0))))</f>
        <v>106.12022667532625</v>
      </c>
      <c r="Q47">
        <f ca="1">IF($C47-Q$1&lt;År1,0,P46*(1-VLOOKUP($A47,[1]Hugst!$R$5:$W$9,MATCH(ROUNDUP((Q$1)/10,0)*10,[1]Hugst!$R$4:$W$4,0))))</f>
        <v>106.27703271431785</v>
      </c>
      <c r="R47">
        <f ca="1">IF($C47-R$1&lt;År1,0,Q46*(1-VLOOKUP($A47,[1]Hugst!$R$5:$W$9,MATCH(ROUNDUP((R$1)/10,0)*10,[1]Hugst!$R$4:$W$4,0))))</f>
        <v>106.4346267233563</v>
      </c>
      <c r="S47">
        <f ca="1">IF($C47-S$1&lt;År1,0,R46*(1-VLOOKUP($A47,[1]Hugst!$R$5:$W$9,MATCH(ROUNDUP((S$1)/10,0)*10,[1]Hugst!$R$4:$W$4,0))))</f>
        <v>106.59301266208753</v>
      </c>
      <c r="T47">
        <f ca="1">IF($C47-T$1&lt;År1,0,S46*(1-VLOOKUP($A47,[1]Hugst!$R$5:$W$9,MATCH(ROUNDUP((T$1)/10,0)*10,[1]Hugst!$R$4:$W$4,0))))</f>
        <v>106.75219451005873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55000000000000004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70.734132219146801</v>
      </c>
      <c r="G48">
        <f ca="1">IF($C48-G$1&lt;År1,0,F47*(1-VLOOKUP($A48,[1]Hugst!$R$5:$W$9,MATCH(ROUNDUP((G$1)/10,0)*10,[1]Hugst!$R$4:$W$4,0))))</f>
        <v>70.882526332289189</v>
      </c>
      <c r="H48">
        <f ca="1">IF($C48-H$1&lt;År1,0,G47*(1-VLOOKUP($A48,[1]Hugst!$R$5:$W$9,MATCH(ROUNDUP((H$1)/10,0)*10,[1]Hugst!$R$4:$W$4,0))))</f>
        <v>71.031666144492959</v>
      </c>
      <c r="I48">
        <f ca="1">IF($C48-I$1&lt;År1,0,H47*(1-VLOOKUP($A48,[1]Hugst!$R$5:$W$9,MATCH(ROUNDUP((I$1)/10,0)*10,[1]Hugst!$R$4:$W$4,0))))</f>
        <v>71.181555402989858</v>
      </c>
      <c r="J48">
        <f ca="1">IF($C48-J$1&lt;År1,0,I47*(1-VLOOKUP($A48,[1]Hugst!$R$5:$W$9,MATCH(ROUNDUP((J$1)/10,0)*10,[1]Hugst!$R$4:$W$4,0))))</f>
        <v>71.332197873839419</v>
      </c>
      <c r="K48">
        <f ca="1">IF($C48-K$1&lt;År1,0,J47*(1-VLOOKUP($A48,[1]Hugst!$R$5:$W$9,MATCH(ROUNDUP((K$1)/10,0)*10,[1]Hugst!$R$4:$W$4,0))))</f>
        <v>105.19571855415381</v>
      </c>
      <c r="L48">
        <f ca="1">IF($C48-L$1&lt;År1,0,K47*(1-VLOOKUP($A48,[1]Hugst!$R$5:$W$9,MATCH(ROUNDUP((L$1)/10,0)*10,[1]Hugst!$R$4:$W$4,0))))</f>
        <v>105.34787882369238</v>
      </c>
      <c r="M48">
        <f ca="1">IF($C48-M$1&lt;År1,0,L47*(1-VLOOKUP($A48,[1]Hugst!$R$5:$W$9,MATCH(ROUNDUP((M$1)/10,0)*10,[1]Hugst!$R$4:$W$4,0))))</f>
        <v>105.50080371770207</v>
      </c>
      <c r="N48">
        <f ca="1">IF($C48-N$1&lt;År1,0,M47*(1-VLOOKUP($A48,[1]Hugst!$R$5:$W$9,MATCH(ROUNDUP((N$1)/10,0)*10,[1]Hugst!$R$4:$W$4,0))))</f>
        <v>105.65449707851479</v>
      </c>
      <c r="O48">
        <f ca="1">IF($C48-O$1&lt;År1,0,N47*(1-VLOOKUP($A48,[1]Hugst!$R$5:$W$9,MATCH(ROUNDUP((O$1)/10,0)*10,[1]Hugst!$R$4:$W$4,0))))</f>
        <v>105.80896276777605</v>
      </c>
      <c r="P48">
        <f ca="1">IF($C48-P$1&lt;År1,0,O47*(1-VLOOKUP($A48,[1]Hugst!$R$5:$W$9,MATCH(ROUNDUP((P$1)/10,0)*10,[1]Hugst!$R$4:$W$4,0))))</f>
        <v>105.96420466652819</v>
      </c>
      <c r="Q48">
        <f ca="1">IF($C48-Q$1&lt;År1,0,P47*(1-VLOOKUP($A48,[1]Hugst!$R$5:$W$9,MATCH(ROUNDUP((Q$1)/10,0)*10,[1]Hugst!$R$4:$W$4,0))))</f>
        <v>106.12022667532625</v>
      </c>
      <c r="R48">
        <f ca="1">IF($C48-R$1&lt;År1,0,Q47*(1-VLOOKUP($A48,[1]Hugst!$R$5:$W$9,MATCH(ROUNDUP((R$1)/10,0)*10,[1]Hugst!$R$4:$W$4,0))))</f>
        <v>106.27703271431785</v>
      </c>
      <c r="S48">
        <f ca="1">IF($C48-S$1&lt;År1,0,R47*(1-VLOOKUP($A48,[1]Hugst!$R$5:$W$9,MATCH(ROUNDUP((S$1)/10,0)*10,[1]Hugst!$R$4:$W$4,0))))</f>
        <v>106.4346267233563</v>
      </c>
      <c r="T48">
        <f ca="1">IF($C48-T$1&lt;År1,0,S47*(1-VLOOKUP($A48,[1]Hugst!$R$5:$W$9,MATCH(ROUNDUP((T$1)/10,0)*10,[1]Hugst!$R$4:$W$4,0))))</f>
        <v>106.59301266208753</v>
      </c>
      <c r="U48">
        <f ca="1">IF($C48-U$1&lt;År1,0,T47*(1-VLOOKUP($A48,[1]Hugst!$R$5:$W$9,MATCH(ROUNDUP((U$1)/10,0)*10,[1]Hugst!$R$4:$W$4,0))))</f>
        <v>106.75219451005873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55000000000000004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70.586480076568961</v>
      </c>
      <c r="G49">
        <f ca="1">IF($C49-G$1&lt;År1,0,F48*(1-VLOOKUP($A49,[1]Hugst!$R$5:$W$9,MATCH(ROUNDUP((G$1)/10,0)*10,[1]Hugst!$R$4:$W$4,0))))</f>
        <v>70.734132219146801</v>
      </c>
      <c r="H49">
        <f ca="1">IF($C49-H$1&lt;År1,0,G48*(1-VLOOKUP($A49,[1]Hugst!$R$5:$W$9,MATCH(ROUNDUP((H$1)/10,0)*10,[1]Hugst!$R$4:$W$4,0))))</f>
        <v>70.882526332289189</v>
      </c>
      <c r="I49">
        <f ca="1">IF($C49-I$1&lt;År1,0,H48*(1-VLOOKUP($A49,[1]Hugst!$R$5:$W$9,MATCH(ROUNDUP((I$1)/10,0)*10,[1]Hugst!$R$4:$W$4,0))))</f>
        <v>71.031666144492959</v>
      </c>
      <c r="J49">
        <f ca="1">IF($C49-J$1&lt;År1,0,I48*(1-VLOOKUP($A49,[1]Hugst!$R$5:$W$9,MATCH(ROUNDUP((J$1)/10,0)*10,[1]Hugst!$R$4:$W$4,0))))</f>
        <v>71.181555402989858</v>
      </c>
      <c r="K49">
        <f ca="1">IF($C49-K$1&lt;År1,0,J48*(1-VLOOKUP($A49,[1]Hugst!$R$5:$W$9,MATCH(ROUNDUP((K$1)/10,0)*10,[1]Hugst!$R$4:$W$4,0))))</f>
        <v>71.332197873839419</v>
      </c>
      <c r="L49">
        <f ca="1">IF($C49-L$1&lt;År1,0,K48*(1-VLOOKUP($A49,[1]Hugst!$R$5:$W$9,MATCH(ROUNDUP((L$1)/10,0)*10,[1]Hugst!$R$4:$W$4,0))))</f>
        <v>105.19571855415381</v>
      </c>
      <c r="M49">
        <f ca="1">IF($C49-M$1&lt;År1,0,L48*(1-VLOOKUP($A49,[1]Hugst!$R$5:$W$9,MATCH(ROUNDUP((M$1)/10,0)*10,[1]Hugst!$R$4:$W$4,0))))</f>
        <v>105.34787882369238</v>
      </c>
      <c r="N49">
        <f ca="1">IF($C49-N$1&lt;År1,0,M48*(1-VLOOKUP($A49,[1]Hugst!$R$5:$W$9,MATCH(ROUNDUP((N$1)/10,0)*10,[1]Hugst!$R$4:$W$4,0))))</f>
        <v>105.50080371770207</v>
      </c>
      <c r="O49">
        <f ca="1">IF($C49-O$1&lt;År1,0,N48*(1-VLOOKUP($A49,[1]Hugst!$R$5:$W$9,MATCH(ROUNDUP((O$1)/10,0)*10,[1]Hugst!$R$4:$W$4,0))))</f>
        <v>105.65449707851479</v>
      </c>
      <c r="P49">
        <f ca="1">IF($C49-P$1&lt;År1,0,O48*(1-VLOOKUP($A49,[1]Hugst!$R$5:$W$9,MATCH(ROUNDUP((P$1)/10,0)*10,[1]Hugst!$R$4:$W$4,0))))</f>
        <v>105.80896276777605</v>
      </c>
      <c r="Q49">
        <f ca="1">IF($C49-Q$1&lt;År1,0,P48*(1-VLOOKUP($A49,[1]Hugst!$R$5:$W$9,MATCH(ROUNDUP((Q$1)/10,0)*10,[1]Hugst!$R$4:$W$4,0))))</f>
        <v>105.96420466652819</v>
      </c>
      <c r="R49">
        <f ca="1">IF($C49-R$1&lt;År1,0,Q48*(1-VLOOKUP($A49,[1]Hugst!$R$5:$W$9,MATCH(ROUNDUP((R$1)/10,0)*10,[1]Hugst!$R$4:$W$4,0))))</f>
        <v>106.12022667532625</v>
      </c>
      <c r="S49">
        <f ca="1">IF($C49-S$1&lt;År1,0,R48*(1-VLOOKUP($A49,[1]Hugst!$R$5:$W$9,MATCH(ROUNDUP((S$1)/10,0)*10,[1]Hugst!$R$4:$W$4,0))))</f>
        <v>106.27703271431785</v>
      </c>
      <c r="T49">
        <f ca="1">IF($C49-T$1&lt;År1,0,S48*(1-VLOOKUP($A49,[1]Hugst!$R$5:$W$9,MATCH(ROUNDUP((T$1)/10,0)*10,[1]Hugst!$R$4:$W$4,0))))</f>
        <v>106.4346267233563</v>
      </c>
      <c r="U49">
        <f ca="1">IF($C49-U$1&lt;År1,0,T48*(1-VLOOKUP($A49,[1]Hugst!$R$5:$W$9,MATCH(ROUNDUP((U$1)/10,0)*10,[1]Hugst!$R$4:$W$4,0))))</f>
        <v>106.59301266208753</v>
      </c>
      <c r="V49">
        <f ca="1">IF($C49-V$1&lt;År1,0,U48*(1-VLOOKUP($A49,[1]Hugst!$R$5:$W$9,MATCH(ROUNDUP((V$1)/10,0)*10,[1]Hugst!$R$4:$W$4,0))))</f>
        <v>106.75219451005873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55000000000000004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70.439566194704895</v>
      </c>
      <c r="G50">
        <f ca="1">IF($C50-G$1&lt;År1,0,F49*(1-VLOOKUP($A50,[1]Hugst!$R$5:$W$9,MATCH(ROUNDUP((G$1)/10,0)*10,[1]Hugst!$R$4:$W$4,0))))</f>
        <v>70.586480076568961</v>
      </c>
      <c r="H50">
        <f ca="1">IF($C50-H$1&lt;År1,0,G49*(1-VLOOKUP($A50,[1]Hugst!$R$5:$W$9,MATCH(ROUNDUP((H$1)/10,0)*10,[1]Hugst!$R$4:$W$4,0))))</f>
        <v>70.734132219146801</v>
      </c>
      <c r="I50">
        <f ca="1">IF($C50-I$1&lt;År1,0,H49*(1-VLOOKUP($A50,[1]Hugst!$R$5:$W$9,MATCH(ROUNDUP((I$1)/10,0)*10,[1]Hugst!$R$4:$W$4,0))))</f>
        <v>70.882526332289189</v>
      </c>
      <c r="J50">
        <f ca="1">IF($C50-J$1&lt;År1,0,I49*(1-VLOOKUP($A50,[1]Hugst!$R$5:$W$9,MATCH(ROUNDUP((J$1)/10,0)*10,[1]Hugst!$R$4:$W$4,0))))</f>
        <v>71.031666144492959</v>
      </c>
      <c r="K50">
        <f ca="1">IF($C50-K$1&lt;År1,0,J49*(1-VLOOKUP($A50,[1]Hugst!$R$5:$W$9,MATCH(ROUNDUP((K$1)/10,0)*10,[1]Hugst!$R$4:$W$4,0))))</f>
        <v>71.181555402989858</v>
      </c>
      <c r="L50">
        <f ca="1">IF($C50-L$1&lt;År1,0,K49*(1-VLOOKUP($A50,[1]Hugst!$R$5:$W$9,MATCH(ROUNDUP((L$1)/10,0)*10,[1]Hugst!$R$4:$W$4,0))))</f>
        <v>71.332197873839419</v>
      </c>
      <c r="M50">
        <f ca="1">IF($C50-M$1&lt;År1,0,L49*(1-VLOOKUP($A50,[1]Hugst!$R$5:$W$9,MATCH(ROUNDUP((M$1)/10,0)*10,[1]Hugst!$R$4:$W$4,0))))</f>
        <v>105.19571855415381</v>
      </c>
      <c r="N50">
        <f ca="1">IF($C50-N$1&lt;År1,0,M49*(1-VLOOKUP($A50,[1]Hugst!$R$5:$W$9,MATCH(ROUNDUP((N$1)/10,0)*10,[1]Hugst!$R$4:$W$4,0))))</f>
        <v>105.34787882369238</v>
      </c>
      <c r="O50">
        <f ca="1">IF($C50-O$1&lt;År1,0,N49*(1-VLOOKUP($A50,[1]Hugst!$R$5:$W$9,MATCH(ROUNDUP((O$1)/10,0)*10,[1]Hugst!$R$4:$W$4,0))))</f>
        <v>105.50080371770207</v>
      </c>
      <c r="P50">
        <f ca="1">IF($C50-P$1&lt;År1,0,O49*(1-VLOOKUP($A50,[1]Hugst!$R$5:$W$9,MATCH(ROUNDUP((P$1)/10,0)*10,[1]Hugst!$R$4:$W$4,0))))</f>
        <v>105.65449707851479</v>
      </c>
      <c r="Q50">
        <f ca="1">IF($C50-Q$1&lt;År1,0,P49*(1-VLOOKUP($A50,[1]Hugst!$R$5:$W$9,MATCH(ROUNDUP((Q$1)/10,0)*10,[1]Hugst!$R$4:$W$4,0))))</f>
        <v>105.80896276777605</v>
      </c>
      <c r="R50">
        <f ca="1">IF($C50-R$1&lt;År1,0,Q49*(1-VLOOKUP($A50,[1]Hugst!$R$5:$W$9,MATCH(ROUNDUP((R$1)/10,0)*10,[1]Hugst!$R$4:$W$4,0))))</f>
        <v>105.96420466652819</v>
      </c>
      <c r="S50">
        <f ca="1">IF($C50-S$1&lt;År1,0,R49*(1-VLOOKUP($A50,[1]Hugst!$R$5:$W$9,MATCH(ROUNDUP((S$1)/10,0)*10,[1]Hugst!$R$4:$W$4,0))))</f>
        <v>106.12022667532625</v>
      </c>
      <c r="T50">
        <f ca="1">IF($C50-T$1&lt;År1,0,S49*(1-VLOOKUP($A50,[1]Hugst!$R$5:$W$9,MATCH(ROUNDUP((T$1)/10,0)*10,[1]Hugst!$R$4:$W$4,0))))</f>
        <v>106.27703271431785</v>
      </c>
      <c r="U50">
        <f ca="1">IF($C50-U$1&lt;År1,0,T49*(1-VLOOKUP($A50,[1]Hugst!$R$5:$W$9,MATCH(ROUNDUP((U$1)/10,0)*10,[1]Hugst!$R$4:$W$4,0))))</f>
        <v>106.4346267233563</v>
      </c>
      <c r="V50">
        <f ca="1">IF($C50-V$1&lt;År1,0,U49*(1-VLOOKUP($A50,[1]Hugst!$R$5:$W$9,MATCH(ROUNDUP((V$1)/10,0)*10,[1]Hugst!$R$4:$W$4,0))))</f>
        <v>106.59301266208753</v>
      </c>
      <c r="W50">
        <f ca="1">IF($C50-W$1&lt;År1,0,V49*(1-VLOOKUP($A50,[1]Hugst!$R$5:$W$9,MATCH(ROUNDUP((W$1)/10,0)*10,[1]Hugst!$R$4:$W$4,0))))</f>
        <v>106.75219451005873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55000000000000004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70.293386882250417</v>
      </c>
      <c r="G51">
        <f ca="1">IF($C51-G$1&lt;År1,0,F50*(1-VLOOKUP($A51,[1]Hugst!$R$5:$W$9,MATCH(ROUNDUP((G$1)/10,0)*10,[1]Hugst!$R$4:$W$4,0))))</f>
        <v>70.439566194704895</v>
      </c>
      <c r="H51">
        <f ca="1">IF($C51-H$1&lt;År1,0,G50*(1-VLOOKUP($A51,[1]Hugst!$R$5:$W$9,MATCH(ROUNDUP((H$1)/10,0)*10,[1]Hugst!$R$4:$W$4,0))))</f>
        <v>70.586480076568961</v>
      </c>
      <c r="I51">
        <f ca="1">IF($C51-I$1&lt;År1,0,H50*(1-VLOOKUP($A51,[1]Hugst!$R$5:$W$9,MATCH(ROUNDUP((I$1)/10,0)*10,[1]Hugst!$R$4:$W$4,0))))</f>
        <v>70.734132219146801</v>
      </c>
      <c r="J51">
        <f ca="1">IF($C51-J$1&lt;År1,0,I50*(1-VLOOKUP($A51,[1]Hugst!$R$5:$W$9,MATCH(ROUNDUP((J$1)/10,0)*10,[1]Hugst!$R$4:$W$4,0))))</f>
        <v>70.882526332289189</v>
      </c>
      <c r="K51">
        <f ca="1">IF($C51-K$1&lt;År1,0,J50*(1-VLOOKUP($A51,[1]Hugst!$R$5:$W$9,MATCH(ROUNDUP((K$1)/10,0)*10,[1]Hugst!$R$4:$W$4,0))))</f>
        <v>71.031666144492959</v>
      </c>
      <c r="L51">
        <f ca="1">IF($C51-L$1&lt;År1,0,K50*(1-VLOOKUP($A51,[1]Hugst!$R$5:$W$9,MATCH(ROUNDUP((L$1)/10,0)*10,[1]Hugst!$R$4:$W$4,0))))</f>
        <v>71.181555402989858</v>
      </c>
      <c r="M51">
        <f ca="1">IF($C51-M$1&lt;År1,0,L50*(1-VLOOKUP($A51,[1]Hugst!$R$5:$W$9,MATCH(ROUNDUP((M$1)/10,0)*10,[1]Hugst!$R$4:$W$4,0))))</f>
        <v>71.332197873839419</v>
      </c>
      <c r="N51">
        <f ca="1">IF($C51-N$1&lt;År1,0,M50*(1-VLOOKUP($A51,[1]Hugst!$R$5:$W$9,MATCH(ROUNDUP((N$1)/10,0)*10,[1]Hugst!$R$4:$W$4,0))))</f>
        <v>105.19571855415381</v>
      </c>
      <c r="O51">
        <f ca="1">IF($C51-O$1&lt;År1,0,N50*(1-VLOOKUP($A51,[1]Hugst!$R$5:$W$9,MATCH(ROUNDUP((O$1)/10,0)*10,[1]Hugst!$R$4:$W$4,0))))</f>
        <v>105.34787882369238</v>
      </c>
      <c r="P51">
        <f ca="1">IF($C51-P$1&lt;År1,0,O50*(1-VLOOKUP($A51,[1]Hugst!$R$5:$W$9,MATCH(ROUNDUP((P$1)/10,0)*10,[1]Hugst!$R$4:$W$4,0))))</f>
        <v>105.50080371770207</v>
      </c>
      <c r="Q51">
        <f ca="1">IF($C51-Q$1&lt;År1,0,P50*(1-VLOOKUP($A51,[1]Hugst!$R$5:$W$9,MATCH(ROUNDUP((Q$1)/10,0)*10,[1]Hugst!$R$4:$W$4,0))))</f>
        <v>105.65449707851479</v>
      </c>
      <c r="R51">
        <f ca="1">IF($C51-R$1&lt;År1,0,Q50*(1-VLOOKUP($A51,[1]Hugst!$R$5:$W$9,MATCH(ROUNDUP((R$1)/10,0)*10,[1]Hugst!$R$4:$W$4,0))))</f>
        <v>105.80896276777605</v>
      </c>
      <c r="S51">
        <f ca="1">IF($C51-S$1&lt;År1,0,R50*(1-VLOOKUP($A51,[1]Hugst!$R$5:$W$9,MATCH(ROUNDUP((S$1)/10,0)*10,[1]Hugst!$R$4:$W$4,0))))</f>
        <v>105.96420466652819</v>
      </c>
      <c r="T51">
        <f ca="1">IF($C51-T$1&lt;År1,0,S50*(1-VLOOKUP($A51,[1]Hugst!$R$5:$W$9,MATCH(ROUNDUP((T$1)/10,0)*10,[1]Hugst!$R$4:$W$4,0))))</f>
        <v>106.12022667532625</v>
      </c>
      <c r="U51">
        <f ca="1">IF($C51-U$1&lt;År1,0,T50*(1-VLOOKUP($A51,[1]Hugst!$R$5:$W$9,MATCH(ROUNDUP((U$1)/10,0)*10,[1]Hugst!$R$4:$W$4,0))))</f>
        <v>106.27703271431785</v>
      </c>
      <c r="V51">
        <f ca="1">IF($C51-V$1&lt;År1,0,U50*(1-VLOOKUP($A51,[1]Hugst!$R$5:$W$9,MATCH(ROUNDUP((V$1)/10,0)*10,[1]Hugst!$R$4:$W$4,0))))</f>
        <v>106.4346267233563</v>
      </c>
      <c r="W51">
        <f ca="1">IF($C51-W$1&lt;År1,0,V50*(1-VLOOKUP($A51,[1]Hugst!$R$5:$W$9,MATCH(ROUNDUP((W$1)/10,0)*10,[1]Hugst!$R$4:$W$4,0))))</f>
        <v>106.59301266208753</v>
      </c>
      <c r="X51">
        <f ca="1">IF($C51-X$1&lt;År1,0,W50*(1-VLOOKUP($A51,[1]Hugst!$R$5:$W$9,MATCH(ROUNDUP((X$1)/10,0)*10,[1]Hugst!$R$4:$W$4,0))))</f>
        <v>106.75219451005873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55000000000000004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70.147938466356578</v>
      </c>
      <c r="G52">
        <f ca="1">IF($C52-G$1&lt;År1,0,F51*(1-VLOOKUP($A52,[1]Hugst!$R$5:$W$9,MATCH(ROUNDUP((G$1)/10,0)*10,[1]Hugst!$R$4:$W$4,0))))</f>
        <v>70.293386882250417</v>
      </c>
      <c r="H52">
        <f ca="1">IF($C52-H$1&lt;År1,0,G51*(1-VLOOKUP($A52,[1]Hugst!$R$5:$W$9,MATCH(ROUNDUP((H$1)/10,0)*10,[1]Hugst!$R$4:$W$4,0))))</f>
        <v>70.439566194704895</v>
      </c>
      <c r="I52">
        <f ca="1">IF($C52-I$1&lt;År1,0,H51*(1-VLOOKUP($A52,[1]Hugst!$R$5:$W$9,MATCH(ROUNDUP((I$1)/10,0)*10,[1]Hugst!$R$4:$W$4,0))))</f>
        <v>70.586480076568961</v>
      </c>
      <c r="J52">
        <f ca="1">IF($C52-J$1&lt;År1,0,I51*(1-VLOOKUP($A52,[1]Hugst!$R$5:$W$9,MATCH(ROUNDUP((J$1)/10,0)*10,[1]Hugst!$R$4:$W$4,0))))</f>
        <v>70.734132219146801</v>
      </c>
      <c r="K52">
        <f ca="1">IF($C52-K$1&lt;År1,0,J51*(1-VLOOKUP($A52,[1]Hugst!$R$5:$W$9,MATCH(ROUNDUP((K$1)/10,0)*10,[1]Hugst!$R$4:$W$4,0))))</f>
        <v>70.882526332289189</v>
      </c>
      <c r="L52">
        <f ca="1">IF($C52-L$1&lt;År1,0,K51*(1-VLOOKUP($A52,[1]Hugst!$R$5:$W$9,MATCH(ROUNDUP((L$1)/10,0)*10,[1]Hugst!$R$4:$W$4,0))))</f>
        <v>71.031666144492959</v>
      </c>
      <c r="M52">
        <f ca="1">IF($C52-M$1&lt;År1,0,L51*(1-VLOOKUP($A52,[1]Hugst!$R$5:$W$9,MATCH(ROUNDUP((M$1)/10,0)*10,[1]Hugst!$R$4:$W$4,0))))</f>
        <v>71.181555402989858</v>
      </c>
      <c r="N52">
        <f ca="1">IF($C52-N$1&lt;År1,0,M51*(1-VLOOKUP($A52,[1]Hugst!$R$5:$W$9,MATCH(ROUNDUP((N$1)/10,0)*10,[1]Hugst!$R$4:$W$4,0))))</f>
        <v>71.332197873839419</v>
      </c>
      <c r="O52">
        <f ca="1">IF($C52-O$1&lt;År1,0,N51*(1-VLOOKUP($A52,[1]Hugst!$R$5:$W$9,MATCH(ROUNDUP((O$1)/10,0)*10,[1]Hugst!$R$4:$W$4,0))))</f>
        <v>105.19571855415381</v>
      </c>
      <c r="P52">
        <f ca="1">IF($C52-P$1&lt;År1,0,O51*(1-VLOOKUP($A52,[1]Hugst!$R$5:$W$9,MATCH(ROUNDUP((P$1)/10,0)*10,[1]Hugst!$R$4:$W$4,0))))</f>
        <v>105.34787882369238</v>
      </c>
      <c r="Q52">
        <f ca="1">IF($C52-Q$1&lt;År1,0,P51*(1-VLOOKUP($A52,[1]Hugst!$R$5:$W$9,MATCH(ROUNDUP((Q$1)/10,0)*10,[1]Hugst!$R$4:$W$4,0))))</f>
        <v>105.50080371770207</v>
      </c>
      <c r="R52">
        <f ca="1">IF($C52-R$1&lt;År1,0,Q51*(1-VLOOKUP($A52,[1]Hugst!$R$5:$W$9,MATCH(ROUNDUP((R$1)/10,0)*10,[1]Hugst!$R$4:$W$4,0))))</f>
        <v>105.65449707851479</v>
      </c>
      <c r="S52">
        <f ca="1">IF($C52-S$1&lt;År1,0,R51*(1-VLOOKUP($A52,[1]Hugst!$R$5:$W$9,MATCH(ROUNDUP((S$1)/10,0)*10,[1]Hugst!$R$4:$W$4,0))))</f>
        <v>105.80896276777605</v>
      </c>
      <c r="T52">
        <f ca="1">IF($C52-T$1&lt;År1,0,S51*(1-VLOOKUP($A52,[1]Hugst!$R$5:$W$9,MATCH(ROUNDUP((T$1)/10,0)*10,[1]Hugst!$R$4:$W$4,0))))</f>
        <v>105.96420466652819</v>
      </c>
      <c r="U52">
        <f ca="1">IF($C52-U$1&lt;År1,0,T51*(1-VLOOKUP($A52,[1]Hugst!$R$5:$W$9,MATCH(ROUNDUP((U$1)/10,0)*10,[1]Hugst!$R$4:$W$4,0))))</f>
        <v>106.12022667532625</v>
      </c>
      <c r="V52">
        <f ca="1">IF($C52-V$1&lt;År1,0,U51*(1-VLOOKUP($A52,[1]Hugst!$R$5:$W$9,MATCH(ROUNDUP((V$1)/10,0)*10,[1]Hugst!$R$4:$W$4,0))))</f>
        <v>106.27703271431785</v>
      </c>
      <c r="W52">
        <f ca="1">IF($C52-W$1&lt;År1,0,V51*(1-VLOOKUP($A52,[1]Hugst!$R$5:$W$9,MATCH(ROUNDUP((W$1)/10,0)*10,[1]Hugst!$R$4:$W$4,0))))</f>
        <v>106.4346267233563</v>
      </c>
      <c r="X52">
        <f ca="1">IF($C52-X$1&lt;År1,0,W51*(1-VLOOKUP($A52,[1]Hugst!$R$5:$W$9,MATCH(ROUNDUP((X$1)/10,0)*10,[1]Hugst!$R$4:$W$4,0))))</f>
        <v>106.59301266208753</v>
      </c>
      <c r="Y52">
        <f ca="1">IF($C52-Y$1&lt;År1,0,X51*(1-VLOOKUP($A52,[1]Hugst!$R$5:$W$9,MATCH(ROUNDUP((Y$1)/10,0)*10,[1]Hugst!$R$4:$W$4,0))))</f>
        <v>106.75219451005873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55000000000000004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70.003217292543724</v>
      </c>
      <c r="G53">
        <f ca="1">IF($C53-G$1&lt;År1,0,F52*(1-VLOOKUP($A53,[1]Hugst!$R$5:$W$9,MATCH(ROUNDUP((G$1)/10,0)*10,[1]Hugst!$R$4:$W$4,0))))</f>
        <v>70.147938466356578</v>
      </c>
      <c r="H53">
        <f ca="1">IF($C53-H$1&lt;År1,0,G52*(1-VLOOKUP($A53,[1]Hugst!$R$5:$W$9,MATCH(ROUNDUP((H$1)/10,0)*10,[1]Hugst!$R$4:$W$4,0))))</f>
        <v>70.293386882250417</v>
      </c>
      <c r="I53">
        <f ca="1">IF($C53-I$1&lt;År1,0,H52*(1-VLOOKUP($A53,[1]Hugst!$R$5:$W$9,MATCH(ROUNDUP((I$1)/10,0)*10,[1]Hugst!$R$4:$W$4,0))))</f>
        <v>70.439566194704895</v>
      </c>
      <c r="J53">
        <f ca="1">IF($C53-J$1&lt;År1,0,I52*(1-VLOOKUP($A53,[1]Hugst!$R$5:$W$9,MATCH(ROUNDUP((J$1)/10,0)*10,[1]Hugst!$R$4:$W$4,0))))</f>
        <v>70.586480076568961</v>
      </c>
      <c r="K53">
        <f ca="1">IF($C53-K$1&lt;År1,0,J52*(1-VLOOKUP($A53,[1]Hugst!$R$5:$W$9,MATCH(ROUNDUP((K$1)/10,0)*10,[1]Hugst!$R$4:$W$4,0))))</f>
        <v>70.734132219146801</v>
      </c>
      <c r="L53">
        <f ca="1">IF($C53-L$1&lt;År1,0,K52*(1-VLOOKUP($A53,[1]Hugst!$R$5:$W$9,MATCH(ROUNDUP((L$1)/10,0)*10,[1]Hugst!$R$4:$W$4,0))))</f>
        <v>70.882526332289189</v>
      </c>
      <c r="M53">
        <f ca="1">IF($C53-M$1&lt;År1,0,L52*(1-VLOOKUP($A53,[1]Hugst!$R$5:$W$9,MATCH(ROUNDUP((M$1)/10,0)*10,[1]Hugst!$R$4:$W$4,0))))</f>
        <v>71.031666144492959</v>
      </c>
      <c r="N53">
        <f ca="1">IF($C53-N$1&lt;År1,0,M52*(1-VLOOKUP($A53,[1]Hugst!$R$5:$W$9,MATCH(ROUNDUP((N$1)/10,0)*10,[1]Hugst!$R$4:$W$4,0))))</f>
        <v>71.181555402989858</v>
      </c>
      <c r="O53">
        <f ca="1">IF($C53-O$1&lt;År1,0,N52*(1-VLOOKUP($A53,[1]Hugst!$R$5:$W$9,MATCH(ROUNDUP((O$1)/10,0)*10,[1]Hugst!$R$4:$W$4,0))))</f>
        <v>71.332197873839419</v>
      </c>
      <c r="P53">
        <f ca="1">IF($C53-P$1&lt;År1,0,O52*(1-VLOOKUP($A53,[1]Hugst!$R$5:$W$9,MATCH(ROUNDUP((P$1)/10,0)*10,[1]Hugst!$R$4:$W$4,0))))</f>
        <v>105.19571855415381</v>
      </c>
      <c r="Q53">
        <f ca="1">IF($C53-Q$1&lt;År1,0,P52*(1-VLOOKUP($A53,[1]Hugst!$R$5:$W$9,MATCH(ROUNDUP((Q$1)/10,0)*10,[1]Hugst!$R$4:$W$4,0))))</f>
        <v>105.34787882369238</v>
      </c>
      <c r="R53">
        <f ca="1">IF($C53-R$1&lt;År1,0,Q52*(1-VLOOKUP($A53,[1]Hugst!$R$5:$W$9,MATCH(ROUNDUP((R$1)/10,0)*10,[1]Hugst!$R$4:$W$4,0))))</f>
        <v>105.50080371770207</v>
      </c>
      <c r="S53">
        <f ca="1">IF($C53-S$1&lt;År1,0,R52*(1-VLOOKUP($A53,[1]Hugst!$R$5:$W$9,MATCH(ROUNDUP((S$1)/10,0)*10,[1]Hugst!$R$4:$W$4,0))))</f>
        <v>105.65449707851479</v>
      </c>
      <c r="T53">
        <f ca="1">IF($C53-T$1&lt;År1,0,S52*(1-VLOOKUP($A53,[1]Hugst!$R$5:$W$9,MATCH(ROUNDUP((T$1)/10,0)*10,[1]Hugst!$R$4:$W$4,0))))</f>
        <v>105.80896276777605</v>
      </c>
      <c r="U53">
        <f ca="1">IF($C53-U$1&lt;År1,0,T52*(1-VLOOKUP($A53,[1]Hugst!$R$5:$W$9,MATCH(ROUNDUP((U$1)/10,0)*10,[1]Hugst!$R$4:$W$4,0))))</f>
        <v>105.96420466652819</v>
      </c>
      <c r="V53">
        <f ca="1">IF($C53-V$1&lt;År1,0,U52*(1-VLOOKUP($A53,[1]Hugst!$R$5:$W$9,MATCH(ROUNDUP((V$1)/10,0)*10,[1]Hugst!$R$4:$W$4,0))))</f>
        <v>106.12022667532625</v>
      </c>
      <c r="W53">
        <f ca="1">IF($C53-W$1&lt;År1,0,V52*(1-VLOOKUP($A53,[1]Hugst!$R$5:$W$9,MATCH(ROUNDUP((W$1)/10,0)*10,[1]Hugst!$R$4:$W$4,0))))</f>
        <v>106.27703271431785</v>
      </c>
      <c r="X53">
        <f ca="1">IF($C53-X$1&lt;År1,0,W52*(1-VLOOKUP($A53,[1]Hugst!$R$5:$W$9,MATCH(ROUNDUP((X$1)/10,0)*10,[1]Hugst!$R$4:$W$4,0))))</f>
        <v>106.4346267233563</v>
      </c>
      <c r="Y53">
        <f ca="1">IF($C53-Y$1&lt;År1,0,X52*(1-VLOOKUP($A53,[1]Hugst!$R$5:$W$9,MATCH(ROUNDUP((Y$1)/10,0)*10,[1]Hugst!$R$4:$W$4,0))))</f>
        <v>106.59301266208753</v>
      </c>
      <c r="Z53">
        <f ca="1">IF($C53-Z$1&lt;År1,0,Y52*(1-VLOOKUP($A53,[1]Hugst!$R$5:$W$9,MATCH(ROUNDUP((Z$1)/10,0)*10,[1]Hugst!$R$4:$W$4,0))))</f>
        <v>106.75219451005873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55000000000000004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69.859219724599853</v>
      </c>
      <c r="G54">
        <f ca="1">IF($C54-G$1&lt;År1,0,F53*(1-VLOOKUP($A54,[1]Hugst!$R$5:$W$9,MATCH(ROUNDUP((G$1)/10,0)*10,[1]Hugst!$R$4:$W$4,0))))</f>
        <v>70.003217292543724</v>
      </c>
      <c r="H54">
        <f ca="1">IF($C54-H$1&lt;År1,0,G53*(1-VLOOKUP($A54,[1]Hugst!$R$5:$W$9,MATCH(ROUNDUP((H$1)/10,0)*10,[1]Hugst!$R$4:$W$4,0))))</f>
        <v>70.147938466356578</v>
      </c>
      <c r="I54">
        <f ca="1">IF($C54-I$1&lt;År1,0,H53*(1-VLOOKUP($A54,[1]Hugst!$R$5:$W$9,MATCH(ROUNDUP((I$1)/10,0)*10,[1]Hugst!$R$4:$W$4,0))))</f>
        <v>70.293386882250417</v>
      </c>
      <c r="J54">
        <f ca="1">IF($C54-J$1&lt;År1,0,I53*(1-VLOOKUP($A54,[1]Hugst!$R$5:$W$9,MATCH(ROUNDUP((J$1)/10,0)*10,[1]Hugst!$R$4:$W$4,0))))</f>
        <v>70.439566194704895</v>
      </c>
      <c r="K54">
        <f ca="1">IF($C54-K$1&lt;År1,0,J53*(1-VLOOKUP($A54,[1]Hugst!$R$5:$W$9,MATCH(ROUNDUP((K$1)/10,0)*10,[1]Hugst!$R$4:$W$4,0))))</f>
        <v>70.586480076568961</v>
      </c>
      <c r="L54">
        <f ca="1">IF($C54-L$1&lt;År1,0,K53*(1-VLOOKUP($A54,[1]Hugst!$R$5:$W$9,MATCH(ROUNDUP((L$1)/10,0)*10,[1]Hugst!$R$4:$W$4,0))))</f>
        <v>70.734132219146801</v>
      </c>
      <c r="M54">
        <f ca="1">IF($C54-M$1&lt;År1,0,L53*(1-VLOOKUP($A54,[1]Hugst!$R$5:$W$9,MATCH(ROUNDUP((M$1)/10,0)*10,[1]Hugst!$R$4:$W$4,0))))</f>
        <v>70.882526332289189</v>
      </c>
      <c r="N54">
        <f ca="1">IF($C54-N$1&lt;År1,0,M53*(1-VLOOKUP($A54,[1]Hugst!$R$5:$W$9,MATCH(ROUNDUP((N$1)/10,0)*10,[1]Hugst!$R$4:$W$4,0))))</f>
        <v>71.031666144492959</v>
      </c>
      <c r="O54">
        <f ca="1">IF($C54-O$1&lt;År1,0,N53*(1-VLOOKUP($A54,[1]Hugst!$R$5:$W$9,MATCH(ROUNDUP((O$1)/10,0)*10,[1]Hugst!$R$4:$W$4,0))))</f>
        <v>71.181555402989858</v>
      </c>
      <c r="P54">
        <f ca="1">IF($C54-P$1&lt;År1,0,O53*(1-VLOOKUP($A54,[1]Hugst!$R$5:$W$9,MATCH(ROUNDUP((P$1)/10,0)*10,[1]Hugst!$R$4:$W$4,0))))</f>
        <v>71.332197873839419</v>
      </c>
      <c r="Q54">
        <f ca="1">IF($C54-Q$1&lt;År1,0,P53*(1-VLOOKUP($A54,[1]Hugst!$R$5:$W$9,MATCH(ROUNDUP((Q$1)/10,0)*10,[1]Hugst!$R$4:$W$4,0))))</f>
        <v>105.19571855415381</v>
      </c>
      <c r="R54">
        <f ca="1">IF($C54-R$1&lt;År1,0,Q53*(1-VLOOKUP($A54,[1]Hugst!$R$5:$W$9,MATCH(ROUNDUP((R$1)/10,0)*10,[1]Hugst!$R$4:$W$4,0))))</f>
        <v>105.34787882369238</v>
      </c>
      <c r="S54">
        <f ca="1">IF($C54-S$1&lt;År1,0,R53*(1-VLOOKUP($A54,[1]Hugst!$R$5:$W$9,MATCH(ROUNDUP((S$1)/10,0)*10,[1]Hugst!$R$4:$W$4,0))))</f>
        <v>105.50080371770207</v>
      </c>
      <c r="T54">
        <f ca="1">IF($C54-T$1&lt;År1,0,S53*(1-VLOOKUP($A54,[1]Hugst!$R$5:$W$9,MATCH(ROUNDUP((T$1)/10,0)*10,[1]Hugst!$R$4:$W$4,0))))</f>
        <v>105.65449707851479</v>
      </c>
      <c r="U54">
        <f ca="1">IF($C54-U$1&lt;År1,0,T53*(1-VLOOKUP($A54,[1]Hugst!$R$5:$W$9,MATCH(ROUNDUP((U$1)/10,0)*10,[1]Hugst!$R$4:$W$4,0))))</f>
        <v>105.80896276777605</v>
      </c>
      <c r="V54">
        <f ca="1">IF($C54-V$1&lt;År1,0,U53*(1-VLOOKUP($A54,[1]Hugst!$R$5:$W$9,MATCH(ROUNDUP((V$1)/10,0)*10,[1]Hugst!$R$4:$W$4,0))))</f>
        <v>105.96420466652819</v>
      </c>
      <c r="W54">
        <f ca="1">IF($C54-W$1&lt;År1,0,V53*(1-VLOOKUP($A54,[1]Hugst!$R$5:$W$9,MATCH(ROUNDUP((W$1)/10,0)*10,[1]Hugst!$R$4:$W$4,0))))</f>
        <v>106.12022667532625</v>
      </c>
      <c r="X54">
        <f ca="1">IF($C54-X$1&lt;År1,0,W53*(1-VLOOKUP($A54,[1]Hugst!$R$5:$W$9,MATCH(ROUNDUP((X$1)/10,0)*10,[1]Hugst!$R$4:$W$4,0))))</f>
        <v>106.27703271431785</v>
      </c>
      <c r="Y54">
        <f ca="1">IF($C54-Y$1&lt;År1,0,X53*(1-VLOOKUP($A54,[1]Hugst!$R$5:$W$9,MATCH(ROUNDUP((Y$1)/10,0)*10,[1]Hugst!$R$4:$W$4,0))))</f>
        <v>106.4346267233563</v>
      </c>
      <c r="Z54">
        <f ca="1">IF($C54-Z$1&lt;År1,0,Y53*(1-VLOOKUP($A54,[1]Hugst!$R$5:$W$9,MATCH(ROUNDUP((Z$1)/10,0)*10,[1]Hugst!$R$4:$W$4,0))))</f>
        <v>106.59301266208753</v>
      </c>
      <c r="AA54">
        <f ca="1">IF($C54-AA$1&lt;År1,0,Z53*(1-VLOOKUP($A54,[1]Hugst!$R$5:$W$9,MATCH(ROUNDUP((AA$1)/10,0)*10,[1]Hugst!$R$4:$W$4,0))))</f>
        <v>106.75219451005873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55000000000000004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69.715942144495131</v>
      </c>
      <c r="G55">
        <f ca="1">IF($C55-G$1&lt;År1,0,F54*(1-VLOOKUP($A55,[1]Hugst!$R$5:$W$9,MATCH(ROUNDUP((G$1)/10,0)*10,[1]Hugst!$R$4:$W$4,0))))</f>
        <v>69.859219724599853</v>
      </c>
      <c r="H55">
        <f ca="1">IF($C55-H$1&lt;År1,0,G54*(1-VLOOKUP($A55,[1]Hugst!$R$5:$W$9,MATCH(ROUNDUP((H$1)/10,0)*10,[1]Hugst!$R$4:$W$4,0))))</f>
        <v>70.003217292543724</v>
      </c>
      <c r="I55">
        <f ca="1">IF($C55-I$1&lt;År1,0,H54*(1-VLOOKUP($A55,[1]Hugst!$R$5:$W$9,MATCH(ROUNDUP((I$1)/10,0)*10,[1]Hugst!$R$4:$W$4,0))))</f>
        <v>70.147938466356578</v>
      </c>
      <c r="J55">
        <f ca="1">IF($C55-J$1&lt;År1,0,I54*(1-VLOOKUP($A55,[1]Hugst!$R$5:$W$9,MATCH(ROUNDUP((J$1)/10,0)*10,[1]Hugst!$R$4:$W$4,0))))</f>
        <v>70.293386882250417</v>
      </c>
      <c r="K55">
        <f ca="1">IF($C55-K$1&lt;År1,0,J54*(1-VLOOKUP($A55,[1]Hugst!$R$5:$W$9,MATCH(ROUNDUP((K$1)/10,0)*10,[1]Hugst!$R$4:$W$4,0))))</f>
        <v>70.439566194704895</v>
      </c>
      <c r="L55">
        <f ca="1">IF($C55-L$1&lt;År1,0,K54*(1-VLOOKUP($A55,[1]Hugst!$R$5:$W$9,MATCH(ROUNDUP((L$1)/10,0)*10,[1]Hugst!$R$4:$W$4,0))))</f>
        <v>70.586480076568961</v>
      </c>
      <c r="M55">
        <f ca="1">IF($C55-M$1&lt;År1,0,L54*(1-VLOOKUP($A55,[1]Hugst!$R$5:$W$9,MATCH(ROUNDUP((M$1)/10,0)*10,[1]Hugst!$R$4:$W$4,0))))</f>
        <v>70.734132219146801</v>
      </c>
      <c r="N55">
        <f ca="1">IF($C55-N$1&lt;År1,0,M54*(1-VLOOKUP($A55,[1]Hugst!$R$5:$W$9,MATCH(ROUNDUP((N$1)/10,0)*10,[1]Hugst!$R$4:$W$4,0))))</f>
        <v>70.882526332289189</v>
      </c>
      <c r="O55">
        <f ca="1">IF($C55-O$1&lt;År1,0,N54*(1-VLOOKUP($A55,[1]Hugst!$R$5:$W$9,MATCH(ROUNDUP((O$1)/10,0)*10,[1]Hugst!$R$4:$W$4,0))))</f>
        <v>71.031666144492959</v>
      </c>
      <c r="P55">
        <f ca="1">IF($C55-P$1&lt;År1,0,O54*(1-VLOOKUP($A55,[1]Hugst!$R$5:$W$9,MATCH(ROUNDUP((P$1)/10,0)*10,[1]Hugst!$R$4:$W$4,0))))</f>
        <v>71.181555402989858</v>
      </c>
      <c r="Q55">
        <f ca="1">IF($C55-Q$1&lt;År1,0,P54*(1-VLOOKUP($A55,[1]Hugst!$R$5:$W$9,MATCH(ROUNDUP((Q$1)/10,0)*10,[1]Hugst!$R$4:$W$4,0))))</f>
        <v>71.332197873839419</v>
      </c>
      <c r="R55">
        <f ca="1">IF($C55-R$1&lt;År1,0,Q54*(1-VLOOKUP($A55,[1]Hugst!$R$5:$W$9,MATCH(ROUNDUP((R$1)/10,0)*10,[1]Hugst!$R$4:$W$4,0))))</f>
        <v>105.19571855415381</v>
      </c>
      <c r="S55">
        <f ca="1">IF($C55-S$1&lt;År1,0,R54*(1-VLOOKUP($A55,[1]Hugst!$R$5:$W$9,MATCH(ROUNDUP((S$1)/10,0)*10,[1]Hugst!$R$4:$W$4,0))))</f>
        <v>105.34787882369238</v>
      </c>
      <c r="T55">
        <f ca="1">IF($C55-T$1&lt;År1,0,S54*(1-VLOOKUP($A55,[1]Hugst!$R$5:$W$9,MATCH(ROUNDUP((T$1)/10,0)*10,[1]Hugst!$R$4:$W$4,0))))</f>
        <v>105.50080371770207</v>
      </c>
      <c r="U55">
        <f ca="1">IF($C55-U$1&lt;År1,0,T54*(1-VLOOKUP($A55,[1]Hugst!$R$5:$W$9,MATCH(ROUNDUP((U$1)/10,0)*10,[1]Hugst!$R$4:$W$4,0))))</f>
        <v>105.65449707851479</v>
      </c>
      <c r="V55">
        <f ca="1">IF($C55-V$1&lt;År1,0,U54*(1-VLOOKUP($A55,[1]Hugst!$R$5:$W$9,MATCH(ROUNDUP((V$1)/10,0)*10,[1]Hugst!$R$4:$W$4,0))))</f>
        <v>105.80896276777605</v>
      </c>
      <c r="W55">
        <f ca="1">IF($C55-W$1&lt;År1,0,V54*(1-VLOOKUP($A55,[1]Hugst!$R$5:$W$9,MATCH(ROUNDUP((W$1)/10,0)*10,[1]Hugst!$R$4:$W$4,0))))</f>
        <v>105.96420466652819</v>
      </c>
      <c r="X55">
        <f ca="1">IF($C55-X$1&lt;År1,0,W54*(1-VLOOKUP($A55,[1]Hugst!$R$5:$W$9,MATCH(ROUNDUP((X$1)/10,0)*10,[1]Hugst!$R$4:$W$4,0))))</f>
        <v>106.12022667532625</v>
      </c>
      <c r="Y55">
        <f ca="1">IF($C55-Y$1&lt;År1,0,X54*(1-VLOOKUP($A55,[1]Hugst!$R$5:$W$9,MATCH(ROUNDUP((Y$1)/10,0)*10,[1]Hugst!$R$4:$W$4,0))))</f>
        <v>106.27703271431785</v>
      </c>
      <c r="Z55">
        <f ca="1">IF($C55-Z$1&lt;År1,0,Y54*(1-VLOOKUP($A55,[1]Hugst!$R$5:$W$9,MATCH(ROUNDUP((Z$1)/10,0)*10,[1]Hugst!$R$4:$W$4,0))))</f>
        <v>106.4346267233563</v>
      </c>
      <c r="AA55">
        <f ca="1">IF($C55-AA$1&lt;År1,0,Z54*(1-VLOOKUP($A55,[1]Hugst!$R$5:$W$9,MATCH(ROUNDUP((AA$1)/10,0)*10,[1]Hugst!$R$4:$W$4,0))))</f>
        <v>106.59301266208753</v>
      </c>
      <c r="AB55">
        <f ca="1">IF($C55-AB$1&lt;År1,0,AA54*(1-VLOOKUP($A55,[1]Hugst!$R$5:$W$9,MATCH(ROUNDUP((AB$1)/10,0)*10,[1]Hugst!$R$4:$W$4,0))))</f>
        <v>106.75219451005873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55000000000000004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69.573380952291387</v>
      </c>
      <c r="G56">
        <f ca="1">IF($C56-G$1&lt;År1,0,F55*(1-VLOOKUP($A56,[1]Hugst!$R$5:$W$9,MATCH(ROUNDUP((G$1)/10,0)*10,[1]Hugst!$R$4:$W$4,0))))</f>
        <v>69.715942144495131</v>
      </c>
      <c r="H56">
        <f ca="1">IF($C56-H$1&lt;År1,0,G55*(1-VLOOKUP($A56,[1]Hugst!$R$5:$W$9,MATCH(ROUNDUP((H$1)/10,0)*10,[1]Hugst!$R$4:$W$4,0))))</f>
        <v>69.859219724599853</v>
      </c>
      <c r="I56">
        <f ca="1">IF($C56-I$1&lt;År1,0,H55*(1-VLOOKUP($A56,[1]Hugst!$R$5:$W$9,MATCH(ROUNDUP((I$1)/10,0)*10,[1]Hugst!$R$4:$W$4,0))))</f>
        <v>70.003217292543724</v>
      </c>
      <c r="J56">
        <f ca="1">IF($C56-J$1&lt;År1,0,I55*(1-VLOOKUP($A56,[1]Hugst!$R$5:$W$9,MATCH(ROUNDUP((J$1)/10,0)*10,[1]Hugst!$R$4:$W$4,0))))</f>
        <v>70.147938466356578</v>
      </c>
      <c r="K56">
        <f ca="1">IF($C56-K$1&lt;År1,0,J55*(1-VLOOKUP($A56,[1]Hugst!$R$5:$W$9,MATCH(ROUNDUP((K$1)/10,0)*10,[1]Hugst!$R$4:$W$4,0))))</f>
        <v>70.293386882250417</v>
      </c>
      <c r="L56">
        <f ca="1">IF($C56-L$1&lt;År1,0,K55*(1-VLOOKUP($A56,[1]Hugst!$R$5:$W$9,MATCH(ROUNDUP((L$1)/10,0)*10,[1]Hugst!$R$4:$W$4,0))))</f>
        <v>70.439566194704895</v>
      </c>
      <c r="M56">
        <f ca="1">IF($C56-M$1&lt;År1,0,L55*(1-VLOOKUP($A56,[1]Hugst!$R$5:$W$9,MATCH(ROUNDUP((M$1)/10,0)*10,[1]Hugst!$R$4:$W$4,0))))</f>
        <v>70.586480076568961</v>
      </c>
      <c r="N56">
        <f ca="1">IF($C56-N$1&lt;År1,0,M55*(1-VLOOKUP($A56,[1]Hugst!$R$5:$W$9,MATCH(ROUNDUP((N$1)/10,0)*10,[1]Hugst!$R$4:$W$4,0))))</f>
        <v>70.734132219146801</v>
      </c>
      <c r="O56">
        <f ca="1">IF($C56-O$1&lt;År1,0,N55*(1-VLOOKUP($A56,[1]Hugst!$R$5:$W$9,MATCH(ROUNDUP((O$1)/10,0)*10,[1]Hugst!$R$4:$W$4,0))))</f>
        <v>70.882526332289189</v>
      </c>
      <c r="P56">
        <f ca="1">IF($C56-P$1&lt;År1,0,O55*(1-VLOOKUP($A56,[1]Hugst!$R$5:$W$9,MATCH(ROUNDUP((P$1)/10,0)*10,[1]Hugst!$R$4:$W$4,0))))</f>
        <v>71.031666144492959</v>
      </c>
      <c r="Q56">
        <f ca="1">IF($C56-Q$1&lt;År1,0,P55*(1-VLOOKUP($A56,[1]Hugst!$R$5:$W$9,MATCH(ROUNDUP((Q$1)/10,0)*10,[1]Hugst!$R$4:$W$4,0))))</f>
        <v>71.181555402989858</v>
      </c>
      <c r="R56">
        <f ca="1">IF($C56-R$1&lt;År1,0,Q55*(1-VLOOKUP($A56,[1]Hugst!$R$5:$W$9,MATCH(ROUNDUP((R$1)/10,0)*10,[1]Hugst!$R$4:$W$4,0))))</f>
        <v>71.332197873839419</v>
      </c>
      <c r="S56">
        <f ca="1">IF($C56-S$1&lt;År1,0,R55*(1-VLOOKUP($A56,[1]Hugst!$R$5:$W$9,MATCH(ROUNDUP((S$1)/10,0)*10,[1]Hugst!$R$4:$W$4,0))))</f>
        <v>105.19571855415381</v>
      </c>
      <c r="T56">
        <f ca="1">IF($C56-T$1&lt;År1,0,S55*(1-VLOOKUP($A56,[1]Hugst!$R$5:$W$9,MATCH(ROUNDUP((T$1)/10,0)*10,[1]Hugst!$R$4:$W$4,0))))</f>
        <v>105.34787882369238</v>
      </c>
      <c r="U56">
        <f ca="1">IF($C56-U$1&lt;År1,0,T55*(1-VLOOKUP($A56,[1]Hugst!$R$5:$W$9,MATCH(ROUNDUP((U$1)/10,0)*10,[1]Hugst!$R$4:$W$4,0))))</f>
        <v>105.50080371770207</v>
      </c>
      <c r="V56">
        <f ca="1">IF($C56-V$1&lt;År1,0,U55*(1-VLOOKUP($A56,[1]Hugst!$R$5:$W$9,MATCH(ROUNDUP((V$1)/10,0)*10,[1]Hugst!$R$4:$W$4,0))))</f>
        <v>105.65449707851479</v>
      </c>
      <c r="W56">
        <f ca="1">IF($C56-W$1&lt;År1,0,V55*(1-VLOOKUP($A56,[1]Hugst!$R$5:$W$9,MATCH(ROUNDUP((W$1)/10,0)*10,[1]Hugst!$R$4:$W$4,0))))</f>
        <v>105.80896276777605</v>
      </c>
      <c r="X56">
        <f ca="1">IF($C56-X$1&lt;År1,0,W55*(1-VLOOKUP($A56,[1]Hugst!$R$5:$W$9,MATCH(ROUNDUP((X$1)/10,0)*10,[1]Hugst!$R$4:$W$4,0))))</f>
        <v>105.96420466652819</v>
      </c>
      <c r="Y56">
        <f ca="1">IF($C56-Y$1&lt;År1,0,X55*(1-VLOOKUP($A56,[1]Hugst!$R$5:$W$9,MATCH(ROUNDUP((Y$1)/10,0)*10,[1]Hugst!$R$4:$W$4,0))))</f>
        <v>106.12022667532625</v>
      </c>
      <c r="Z56">
        <f ca="1">IF($C56-Z$1&lt;År1,0,Y55*(1-VLOOKUP($A56,[1]Hugst!$R$5:$W$9,MATCH(ROUNDUP((Z$1)/10,0)*10,[1]Hugst!$R$4:$W$4,0))))</f>
        <v>106.27703271431785</v>
      </c>
      <c r="AA56">
        <f ca="1">IF($C56-AA$1&lt;År1,0,Z55*(1-VLOOKUP($A56,[1]Hugst!$R$5:$W$9,MATCH(ROUNDUP((AA$1)/10,0)*10,[1]Hugst!$R$4:$W$4,0))))</f>
        <v>106.4346267233563</v>
      </c>
      <c r="AB56">
        <f ca="1">IF($C56-AB$1&lt;År1,0,AA55*(1-VLOOKUP($A56,[1]Hugst!$R$5:$W$9,MATCH(ROUNDUP((AB$1)/10,0)*10,[1]Hugst!$R$4:$W$4,0))))</f>
        <v>106.59301266208753</v>
      </c>
      <c r="AC56">
        <f ca="1">IF($C56-AC$1&lt;År1,0,AB55*(1-VLOOKUP($A56,[1]Hugst!$R$5:$W$9,MATCH(ROUNDUP((AC$1)/10,0)*10,[1]Hugst!$R$4:$W$4,0))))</f>
        <v>106.75219451005873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55000000000000004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69.431532566047878</v>
      </c>
      <c r="G57">
        <f ca="1">IF($C57-G$1&lt;År1,0,F56*(1-VLOOKUP($A57,[1]Hugst!$R$5:$W$9,MATCH(ROUNDUP((G$1)/10,0)*10,[1]Hugst!$R$4:$W$4,0))))</f>
        <v>69.573380952291387</v>
      </c>
      <c r="H57">
        <f ca="1">IF($C57-H$1&lt;År1,0,G56*(1-VLOOKUP($A57,[1]Hugst!$R$5:$W$9,MATCH(ROUNDUP((H$1)/10,0)*10,[1]Hugst!$R$4:$W$4,0))))</f>
        <v>69.715942144495131</v>
      </c>
      <c r="I57">
        <f ca="1">IF($C57-I$1&lt;År1,0,H56*(1-VLOOKUP($A57,[1]Hugst!$R$5:$W$9,MATCH(ROUNDUP((I$1)/10,0)*10,[1]Hugst!$R$4:$W$4,0))))</f>
        <v>69.859219724599853</v>
      </c>
      <c r="J57">
        <f ca="1">IF($C57-J$1&lt;År1,0,I56*(1-VLOOKUP($A57,[1]Hugst!$R$5:$W$9,MATCH(ROUNDUP((J$1)/10,0)*10,[1]Hugst!$R$4:$W$4,0))))</f>
        <v>70.003217292543724</v>
      </c>
      <c r="K57">
        <f ca="1">IF($C57-K$1&lt;År1,0,J56*(1-VLOOKUP($A57,[1]Hugst!$R$5:$W$9,MATCH(ROUNDUP((K$1)/10,0)*10,[1]Hugst!$R$4:$W$4,0))))</f>
        <v>70.147938466356578</v>
      </c>
      <c r="L57">
        <f ca="1">IF($C57-L$1&lt;År1,0,K56*(1-VLOOKUP($A57,[1]Hugst!$R$5:$W$9,MATCH(ROUNDUP((L$1)/10,0)*10,[1]Hugst!$R$4:$W$4,0))))</f>
        <v>70.293386882250417</v>
      </c>
      <c r="M57">
        <f ca="1">IF($C57-M$1&lt;År1,0,L56*(1-VLOOKUP($A57,[1]Hugst!$R$5:$W$9,MATCH(ROUNDUP((M$1)/10,0)*10,[1]Hugst!$R$4:$W$4,0))))</f>
        <v>70.439566194704895</v>
      </c>
      <c r="N57">
        <f ca="1">IF($C57-N$1&lt;År1,0,M56*(1-VLOOKUP($A57,[1]Hugst!$R$5:$W$9,MATCH(ROUNDUP((N$1)/10,0)*10,[1]Hugst!$R$4:$W$4,0))))</f>
        <v>70.586480076568961</v>
      </c>
      <c r="O57">
        <f ca="1">IF($C57-O$1&lt;År1,0,N56*(1-VLOOKUP($A57,[1]Hugst!$R$5:$W$9,MATCH(ROUNDUP((O$1)/10,0)*10,[1]Hugst!$R$4:$W$4,0))))</f>
        <v>70.734132219146801</v>
      </c>
      <c r="P57">
        <f ca="1">IF($C57-P$1&lt;År1,0,O56*(1-VLOOKUP($A57,[1]Hugst!$R$5:$W$9,MATCH(ROUNDUP((P$1)/10,0)*10,[1]Hugst!$R$4:$W$4,0))))</f>
        <v>70.882526332289189</v>
      </c>
      <c r="Q57">
        <f ca="1">IF($C57-Q$1&lt;År1,0,P56*(1-VLOOKUP($A57,[1]Hugst!$R$5:$W$9,MATCH(ROUNDUP((Q$1)/10,0)*10,[1]Hugst!$R$4:$W$4,0))))</f>
        <v>71.031666144492959</v>
      </c>
      <c r="R57">
        <f ca="1">IF($C57-R$1&lt;År1,0,Q56*(1-VLOOKUP($A57,[1]Hugst!$R$5:$W$9,MATCH(ROUNDUP((R$1)/10,0)*10,[1]Hugst!$R$4:$W$4,0))))</f>
        <v>71.181555402989858</v>
      </c>
      <c r="S57">
        <f ca="1">IF($C57-S$1&lt;År1,0,R56*(1-VLOOKUP($A57,[1]Hugst!$R$5:$W$9,MATCH(ROUNDUP((S$1)/10,0)*10,[1]Hugst!$R$4:$W$4,0))))</f>
        <v>71.332197873839419</v>
      </c>
      <c r="T57">
        <f ca="1">IF($C57-T$1&lt;År1,0,S56*(1-VLOOKUP($A57,[1]Hugst!$R$5:$W$9,MATCH(ROUNDUP((T$1)/10,0)*10,[1]Hugst!$R$4:$W$4,0))))</f>
        <v>105.19571855415381</v>
      </c>
      <c r="U57">
        <f ca="1">IF($C57-U$1&lt;År1,0,T56*(1-VLOOKUP($A57,[1]Hugst!$R$5:$W$9,MATCH(ROUNDUP((U$1)/10,0)*10,[1]Hugst!$R$4:$W$4,0))))</f>
        <v>105.34787882369238</v>
      </c>
      <c r="V57">
        <f ca="1">IF($C57-V$1&lt;År1,0,U56*(1-VLOOKUP($A57,[1]Hugst!$R$5:$W$9,MATCH(ROUNDUP((V$1)/10,0)*10,[1]Hugst!$R$4:$W$4,0))))</f>
        <v>105.50080371770207</v>
      </c>
      <c r="W57">
        <f ca="1">IF($C57-W$1&lt;År1,0,V56*(1-VLOOKUP($A57,[1]Hugst!$R$5:$W$9,MATCH(ROUNDUP((W$1)/10,0)*10,[1]Hugst!$R$4:$W$4,0))))</f>
        <v>105.65449707851479</v>
      </c>
      <c r="X57">
        <f ca="1">IF($C57-X$1&lt;År1,0,W56*(1-VLOOKUP($A57,[1]Hugst!$R$5:$W$9,MATCH(ROUNDUP((X$1)/10,0)*10,[1]Hugst!$R$4:$W$4,0))))</f>
        <v>105.80896276777605</v>
      </c>
      <c r="Y57">
        <f ca="1">IF($C57-Y$1&lt;År1,0,X56*(1-VLOOKUP($A57,[1]Hugst!$R$5:$W$9,MATCH(ROUNDUP((Y$1)/10,0)*10,[1]Hugst!$R$4:$W$4,0))))</f>
        <v>105.96420466652819</v>
      </c>
      <c r="Z57">
        <f ca="1">IF($C57-Z$1&lt;År1,0,Y56*(1-VLOOKUP($A57,[1]Hugst!$R$5:$W$9,MATCH(ROUNDUP((Z$1)/10,0)*10,[1]Hugst!$R$4:$W$4,0))))</f>
        <v>106.12022667532625</v>
      </c>
      <c r="AA57">
        <f ca="1">IF($C57-AA$1&lt;År1,0,Z56*(1-VLOOKUP($A57,[1]Hugst!$R$5:$W$9,MATCH(ROUNDUP((AA$1)/10,0)*10,[1]Hugst!$R$4:$W$4,0))))</f>
        <v>106.27703271431785</v>
      </c>
      <c r="AB57">
        <f ca="1">IF($C57-AB$1&lt;År1,0,AA56*(1-VLOOKUP($A57,[1]Hugst!$R$5:$W$9,MATCH(ROUNDUP((AB$1)/10,0)*10,[1]Hugst!$R$4:$W$4,0))))</f>
        <v>106.4346267233563</v>
      </c>
      <c r="AC57">
        <f ca="1">IF($C57-AC$1&lt;År1,0,AB56*(1-VLOOKUP($A57,[1]Hugst!$R$5:$W$9,MATCH(ROUNDUP((AC$1)/10,0)*10,[1]Hugst!$R$4:$W$4,0))))</f>
        <v>106.59301266208753</v>
      </c>
      <c r="AD57">
        <f ca="1">IF($C57-AD$1&lt;År1,0,AC56*(1-VLOOKUP($A57,[1]Hugst!$R$5:$W$9,MATCH(ROUNDUP((AD$1)/10,0)*10,[1]Hugst!$R$4:$W$4,0))))</f>
        <v>106.75219451005873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55000000000000004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69.290393421736468</v>
      </c>
      <c r="G58">
        <f ca="1">IF($C58-G$1&lt;År1,0,F57*(1-VLOOKUP($A58,[1]Hugst!$R$5:$W$9,MATCH(ROUNDUP((G$1)/10,0)*10,[1]Hugst!$R$4:$W$4,0))))</f>
        <v>69.431532566047878</v>
      </c>
      <c r="H58">
        <f ca="1">IF($C58-H$1&lt;År1,0,G57*(1-VLOOKUP($A58,[1]Hugst!$R$5:$W$9,MATCH(ROUNDUP((H$1)/10,0)*10,[1]Hugst!$R$4:$W$4,0))))</f>
        <v>69.573380952291387</v>
      </c>
      <c r="I58">
        <f ca="1">IF($C58-I$1&lt;År1,0,H57*(1-VLOOKUP($A58,[1]Hugst!$R$5:$W$9,MATCH(ROUNDUP((I$1)/10,0)*10,[1]Hugst!$R$4:$W$4,0))))</f>
        <v>69.715942144495131</v>
      </c>
      <c r="J58">
        <f ca="1">IF($C58-J$1&lt;År1,0,I57*(1-VLOOKUP($A58,[1]Hugst!$R$5:$W$9,MATCH(ROUNDUP((J$1)/10,0)*10,[1]Hugst!$R$4:$W$4,0))))</f>
        <v>69.859219724599853</v>
      </c>
      <c r="K58">
        <f ca="1">IF($C58-K$1&lt;År1,0,J57*(1-VLOOKUP($A58,[1]Hugst!$R$5:$W$9,MATCH(ROUNDUP((K$1)/10,0)*10,[1]Hugst!$R$4:$W$4,0))))</f>
        <v>70.003217292543724</v>
      </c>
      <c r="L58">
        <f ca="1">IF($C58-L$1&lt;År1,0,K57*(1-VLOOKUP($A58,[1]Hugst!$R$5:$W$9,MATCH(ROUNDUP((L$1)/10,0)*10,[1]Hugst!$R$4:$W$4,0))))</f>
        <v>70.147938466356578</v>
      </c>
      <c r="M58">
        <f ca="1">IF($C58-M$1&lt;År1,0,L57*(1-VLOOKUP($A58,[1]Hugst!$R$5:$W$9,MATCH(ROUNDUP((M$1)/10,0)*10,[1]Hugst!$R$4:$W$4,0))))</f>
        <v>70.293386882250417</v>
      </c>
      <c r="N58">
        <f ca="1">IF($C58-N$1&lt;År1,0,M57*(1-VLOOKUP($A58,[1]Hugst!$R$5:$W$9,MATCH(ROUNDUP((N$1)/10,0)*10,[1]Hugst!$R$4:$W$4,0))))</f>
        <v>70.439566194704895</v>
      </c>
      <c r="O58">
        <f ca="1">IF($C58-O$1&lt;År1,0,N57*(1-VLOOKUP($A58,[1]Hugst!$R$5:$W$9,MATCH(ROUNDUP((O$1)/10,0)*10,[1]Hugst!$R$4:$W$4,0))))</f>
        <v>70.586480076568961</v>
      </c>
      <c r="P58">
        <f ca="1">IF($C58-P$1&lt;År1,0,O57*(1-VLOOKUP($A58,[1]Hugst!$R$5:$W$9,MATCH(ROUNDUP((P$1)/10,0)*10,[1]Hugst!$R$4:$W$4,0))))</f>
        <v>70.734132219146801</v>
      </c>
      <c r="Q58">
        <f ca="1">IF($C58-Q$1&lt;År1,0,P57*(1-VLOOKUP($A58,[1]Hugst!$R$5:$W$9,MATCH(ROUNDUP((Q$1)/10,0)*10,[1]Hugst!$R$4:$W$4,0))))</f>
        <v>70.882526332289189</v>
      </c>
      <c r="R58">
        <f ca="1">IF($C58-R$1&lt;År1,0,Q57*(1-VLOOKUP($A58,[1]Hugst!$R$5:$W$9,MATCH(ROUNDUP((R$1)/10,0)*10,[1]Hugst!$R$4:$W$4,0))))</f>
        <v>71.031666144492959</v>
      </c>
      <c r="S58">
        <f ca="1">IF($C58-S$1&lt;År1,0,R57*(1-VLOOKUP($A58,[1]Hugst!$R$5:$W$9,MATCH(ROUNDUP((S$1)/10,0)*10,[1]Hugst!$R$4:$W$4,0))))</f>
        <v>71.181555402989858</v>
      </c>
      <c r="T58">
        <f ca="1">IF($C58-T$1&lt;År1,0,S57*(1-VLOOKUP($A58,[1]Hugst!$R$5:$W$9,MATCH(ROUNDUP((T$1)/10,0)*10,[1]Hugst!$R$4:$W$4,0))))</f>
        <v>71.332197873839419</v>
      </c>
      <c r="U58">
        <f ca="1">IF($C58-U$1&lt;År1,0,T57*(1-VLOOKUP($A58,[1]Hugst!$R$5:$W$9,MATCH(ROUNDUP((U$1)/10,0)*10,[1]Hugst!$R$4:$W$4,0))))</f>
        <v>105.19571855415381</v>
      </c>
      <c r="V58">
        <f ca="1">IF($C58-V$1&lt;År1,0,U57*(1-VLOOKUP($A58,[1]Hugst!$R$5:$W$9,MATCH(ROUNDUP((V$1)/10,0)*10,[1]Hugst!$R$4:$W$4,0))))</f>
        <v>105.34787882369238</v>
      </c>
      <c r="W58">
        <f ca="1">IF($C58-W$1&lt;År1,0,V57*(1-VLOOKUP($A58,[1]Hugst!$R$5:$W$9,MATCH(ROUNDUP((W$1)/10,0)*10,[1]Hugst!$R$4:$W$4,0))))</f>
        <v>105.50080371770207</v>
      </c>
      <c r="X58">
        <f ca="1">IF($C58-X$1&lt;År1,0,W57*(1-VLOOKUP($A58,[1]Hugst!$R$5:$W$9,MATCH(ROUNDUP((X$1)/10,0)*10,[1]Hugst!$R$4:$W$4,0))))</f>
        <v>105.65449707851479</v>
      </c>
      <c r="Y58">
        <f ca="1">IF($C58-Y$1&lt;År1,0,X57*(1-VLOOKUP($A58,[1]Hugst!$R$5:$W$9,MATCH(ROUNDUP((Y$1)/10,0)*10,[1]Hugst!$R$4:$W$4,0))))</f>
        <v>105.80896276777605</v>
      </c>
      <c r="Z58">
        <f ca="1">IF($C58-Z$1&lt;År1,0,Y57*(1-VLOOKUP($A58,[1]Hugst!$R$5:$W$9,MATCH(ROUNDUP((Z$1)/10,0)*10,[1]Hugst!$R$4:$W$4,0))))</f>
        <v>105.96420466652819</v>
      </c>
      <c r="AA58">
        <f ca="1">IF($C58-AA$1&lt;År1,0,Z57*(1-VLOOKUP($A58,[1]Hugst!$R$5:$W$9,MATCH(ROUNDUP((AA$1)/10,0)*10,[1]Hugst!$R$4:$W$4,0))))</f>
        <v>106.12022667532625</v>
      </c>
      <c r="AB58">
        <f ca="1">IF($C58-AB$1&lt;År1,0,AA57*(1-VLOOKUP($A58,[1]Hugst!$R$5:$W$9,MATCH(ROUNDUP((AB$1)/10,0)*10,[1]Hugst!$R$4:$W$4,0))))</f>
        <v>106.27703271431785</v>
      </c>
      <c r="AC58">
        <f ca="1">IF($C58-AC$1&lt;År1,0,AB57*(1-VLOOKUP($A58,[1]Hugst!$R$5:$W$9,MATCH(ROUNDUP((AC$1)/10,0)*10,[1]Hugst!$R$4:$W$4,0))))</f>
        <v>106.4346267233563</v>
      </c>
      <c r="AD58">
        <f ca="1">IF($C58-AD$1&lt;År1,0,AC57*(1-VLOOKUP($A58,[1]Hugst!$R$5:$W$9,MATCH(ROUNDUP((AD$1)/10,0)*10,[1]Hugst!$R$4:$W$4,0))))</f>
        <v>106.59301266208753</v>
      </c>
      <c r="AE58">
        <f ca="1">IF($C58-AE$1&lt;År1,0,AD57*(1-VLOOKUP($A58,[1]Hugst!$R$5:$W$9,MATCH(ROUNDUP((AE$1)/10,0)*10,[1]Hugst!$R$4:$W$4,0))))</f>
        <v>106.75219451005873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55000000000000004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69.149959973147048</v>
      </c>
      <c r="G59">
        <f ca="1">IF($C59-G$1&lt;År1,0,F58*(1-VLOOKUP($A59,[1]Hugst!$R$5:$W$9,MATCH(ROUNDUP((G$1)/10,0)*10,[1]Hugst!$R$4:$W$4,0))))</f>
        <v>69.290393421736468</v>
      </c>
      <c r="H59">
        <f ca="1">IF($C59-H$1&lt;År1,0,G58*(1-VLOOKUP($A59,[1]Hugst!$R$5:$W$9,MATCH(ROUNDUP((H$1)/10,0)*10,[1]Hugst!$R$4:$W$4,0))))</f>
        <v>69.431532566047878</v>
      </c>
      <c r="I59">
        <f ca="1">IF($C59-I$1&lt;År1,0,H58*(1-VLOOKUP($A59,[1]Hugst!$R$5:$W$9,MATCH(ROUNDUP((I$1)/10,0)*10,[1]Hugst!$R$4:$W$4,0))))</f>
        <v>69.573380952291387</v>
      </c>
      <c r="J59">
        <f ca="1">IF($C59-J$1&lt;År1,0,I58*(1-VLOOKUP($A59,[1]Hugst!$R$5:$W$9,MATCH(ROUNDUP((J$1)/10,0)*10,[1]Hugst!$R$4:$W$4,0))))</f>
        <v>69.715942144495131</v>
      </c>
      <c r="K59">
        <f ca="1">IF($C59-K$1&lt;År1,0,J58*(1-VLOOKUP($A59,[1]Hugst!$R$5:$W$9,MATCH(ROUNDUP((K$1)/10,0)*10,[1]Hugst!$R$4:$W$4,0))))</f>
        <v>69.859219724599853</v>
      </c>
      <c r="L59">
        <f ca="1">IF($C59-L$1&lt;År1,0,K58*(1-VLOOKUP($A59,[1]Hugst!$R$5:$W$9,MATCH(ROUNDUP((L$1)/10,0)*10,[1]Hugst!$R$4:$W$4,0))))</f>
        <v>70.003217292543724</v>
      </c>
      <c r="M59">
        <f ca="1">IF($C59-M$1&lt;År1,0,L58*(1-VLOOKUP($A59,[1]Hugst!$R$5:$W$9,MATCH(ROUNDUP((M$1)/10,0)*10,[1]Hugst!$R$4:$W$4,0))))</f>
        <v>70.147938466356578</v>
      </c>
      <c r="N59">
        <f ca="1">IF($C59-N$1&lt;År1,0,M58*(1-VLOOKUP($A59,[1]Hugst!$R$5:$W$9,MATCH(ROUNDUP((N$1)/10,0)*10,[1]Hugst!$R$4:$W$4,0))))</f>
        <v>70.293386882250417</v>
      </c>
      <c r="O59">
        <f ca="1">IF($C59-O$1&lt;År1,0,N58*(1-VLOOKUP($A59,[1]Hugst!$R$5:$W$9,MATCH(ROUNDUP((O$1)/10,0)*10,[1]Hugst!$R$4:$W$4,0))))</f>
        <v>70.439566194704895</v>
      </c>
      <c r="P59">
        <f ca="1">IF($C59-P$1&lt;År1,0,O58*(1-VLOOKUP($A59,[1]Hugst!$R$5:$W$9,MATCH(ROUNDUP((P$1)/10,0)*10,[1]Hugst!$R$4:$W$4,0))))</f>
        <v>70.586480076568961</v>
      </c>
      <c r="Q59">
        <f ca="1">IF($C59-Q$1&lt;År1,0,P58*(1-VLOOKUP($A59,[1]Hugst!$R$5:$W$9,MATCH(ROUNDUP((Q$1)/10,0)*10,[1]Hugst!$R$4:$W$4,0))))</f>
        <v>70.734132219146801</v>
      </c>
      <c r="R59">
        <f ca="1">IF($C59-R$1&lt;År1,0,Q58*(1-VLOOKUP($A59,[1]Hugst!$R$5:$W$9,MATCH(ROUNDUP((R$1)/10,0)*10,[1]Hugst!$R$4:$W$4,0))))</f>
        <v>70.882526332289189</v>
      </c>
      <c r="S59">
        <f ca="1">IF($C59-S$1&lt;År1,0,R58*(1-VLOOKUP($A59,[1]Hugst!$R$5:$W$9,MATCH(ROUNDUP((S$1)/10,0)*10,[1]Hugst!$R$4:$W$4,0))))</f>
        <v>71.031666144492959</v>
      </c>
      <c r="T59">
        <f ca="1">IF($C59-T$1&lt;År1,0,S58*(1-VLOOKUP($A59,[1]Hugst!$R$5:$W$9,MATCH(ROUNDUP((T$1)/10,0)*10,[1]Hugst!$R$4:$W$4,0))))</f>
        <v>71.181555402989858</v>
      </c>
      <c r="U59">
        <f ca="1">IF($C59-U$1&lt;År1,0,T58*(1-VLOOKUP($A59,[1]Hugst!$R$5:$W$9,MATCH(ROUNDUP((U$1)/10,0)*10,[1]Hugst!$R$4:$W$4,0))))</f>
        <v>71.332197873839419</v>
      </c>
      <c r="V59">
        <f ca="1">IF($C59-V$1&lt;År1,0,U58*(1-VLOOKUP($A59,[1]Hugst!$R$5:$W$9,MATCH(ROUNDUP((V$1)/10,0)*10,[1]Hugst!$R$4:$W$4,0))))</f>
        <v>105.19571855415381</v>
      </c>
      <c r="W59">
        <f ca="1">IF($C59-W$1&lt;År1,0,V58*(1-VLOOKUP($A59,[1]Hugst!$R$5:$W$9,MATCH(ROUNDUP((W$1)/10,0)*10,[1]Hugst!$R$4:$W$4,0))))</f>
        <v>105.34787882369238</v>
      </c>
      <c r="X59">
        <f ca="1">IF($C59-X$1&lt;År1,0,W58*(1-VLOOKUP($A59,[1]Hugst!$R$5:$W$9,MATCH(ROUNDUP((X$1)/10,0)*10,[1]Hugst!$R$4:$W$4,0))))</f>
        <v>105.50080371770207</v>
      </c>
      <c r="Y59">
        <f ca="1">IF($C59-Y$1&lt;År1,0,X58*(1-VLOOKUP($A59,[1]Hugst!$R$5:$W$9,MATCH(ROUNDUP((Y$1)/10,0)*10,[1]Hugst!$R$4:$W$4,0))))</f>
        <v>105.65449707851479</v>
      </c>
      <c r="Z59">
        <f ca="1">IF($C59-Z$1&lt;År1,0,Y58*(1-VLOOKUP($A59,[1]Hugst!$R$5:$W$9,MATCH(ROUNDUP((Z$1)/10,0)*10,[1]Hugst!$R$4:$W$4,0))))</f>
        <v>105.80896276777605</v>
      </c>
      <c r="AA59">
        <f ca="1">IF($C59-AA$1&lt;År1,0,Z58*(1-VLOOKUP($A59,[1]Hugst!$R$5:$W$9,MATCH(ROUNDUP((AA$1)/10,0)*10,[1]Hugst!$R$4:$W$4,0))))</f>
        <v>105.96420466652819</v>
      </c>
      <c r="AB59">
        <f ca="1">IF($C59-AB$1&lt;År1,0,AA58*(1-VLOOKUP($A59,[1]Hugst!$R$5:$W$9,MATCH(ROUNDUP((AB$1)/10,0)*10,[1]Hugst!$R$4:$W$4,0))))</f>
        <v>106.12022667532625</v>
      </c>
      <c r="AC59">
        <f ca="1">IF($C59-AC$1&lt;År1,0,AB58*(1-VLOOKUP($A59,[1]Hugst!$R$5:$W$9,MATCH(ROUNDUP((AC$1)/10,0)*10,[1]Hugst!$R$4:$W$4,0))))</f>
        <v>106.27703271431785</v>
      </c>
      <c r="AD59">
        <f ca="1">IF($C59-AD$1&lt;År1,0,AC58*(1-VLOOKUP($A59,[1]Hugst!$R$5:$W$9,MATCH(ROUNDUP((AD$1)/10,0)*10,[1]Hugst!$R$4:$W$4,0))))</f>
        <v>106.4346267233563</v>
      </c>
      <c r="AE59">
        <f ca="1">IF($C59-AE$1&lt;År1,0,AD58*(1-VLOOKUP($A59,[1]Hugst!$R$5:$W$9,MATCH(ROUNDUP((AE$1)/10,0)*10,[1]Hugst!$R$4:$W$4,0))))</f>
        <v>106.59301266208753</v>
      </c>
      <c r="AF59">
        <f ca="1">IF($C59-AF$1&lt;År1,0,AE58*(1-VLOOKUP($A59,[1]Hugst!$R$5:$W$9,MATCH(ROUNDUP((AF$1)/10,0)*10,[1]Hugst!$R$4:$W$4,0))))</f>
        <v>106.75219451005873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55000000000000004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69.010228691797948</v>
      </c>
      <c r="G60">
        <f ca="1">IF($C60-G$1&lt;År1,0,F59*(1-VLOOKUP($A60,[1]Hugst!$R$5:$W$9,MATCH(ROUNDUP((G$1)/10,0)*10,[1]Hugst!$R$4:$W$4,0))))</f>
        <v>69.149959973147048</v>
      </c>
      <c r="H60">
        <f ca="1">IF($C60-H$1&lt;År1,0,G59*(1-VLOOKUP($A60,[1]Hugst!$R$5:$W$9,MATCH(ROUNDUP((H$1)/10,0)*10,[1]Hugst!$R$4:$W$4,0))))</f>
        <v>69.290393421736468</v>
      </c>
      <c r="I60">
        <f ca="1">IF($C60-I$1&lt;År1,0,H59*(1-VLOOKUP($A60,[1]Hugst!$R$5:$W$9,MATCH(ROUNDUP((I$1)/10,0)*10,[1]Hugst!$R$4:$W$4,0))))</f>
        <v>69.431532566047878</v>
      </c>
      <c r="J60">
        <f ca="1">IF($C60-J$1&lt;År1,0,I59*(1-VLOOKUP($A60,[1]Hugst!$R$5:$W$9,MATCH(ROUNDUP((J$1)/10,0)*10,[1]Hugst!$R$4:$W$4,0))))</f>
        <v>69.573380952291387</v>
      </c>
      <c r="K60">
        <f ca="1">IF($C60-K$1&lt;År1,0,J59*(1-VLOOKUP($A60,[1]Hugst!$R$5:$W$9,MATCH(ROUNDUP((K$1)/10,0)*10,[1]Hugst!$R$4:$W$4,0))))</f>
        <v>69.715942144495131</v>
      </c>
      <c r="L60">
        <f ca="1">IF($C60-L$1&lt;År1,0,K59*(1-VLOOKUP($A60,[1]Hugst!$R$5:$W$9,MATCH(ROUNDUP((L$1)/10,0)*10,[1]Hugst!$R$4:$W$4,0))))</f>
        <v>69.859219724599853</v>
      </c>
      <c r="M60">
        <f ca="1">IF($C60-M$1&lt;År1,0,L59*(1-VLOOKUP($A60,[1]Hugst!$R$5:$W$9,MATCH(ROUNDUP((M$1)/10,0)*10,[1]Hugst!$R$4:$W$4,0))))</f>
        <v>70.003217292543724</v>
      </c>
      <c r="N60">
        <f ca="1">IF($C60-N$1&lt;År1,0,M59*(1-VLOOKUP($A60,[1]Hugst!$R$5:$W$9,MATCH(ROUNDUP((N$1)/10,0)*10,[1]Hugst!$R$4:$W$4,0))))</f>
        <v>70.147938466356578</v>
      </c>
      <c r="O60">
        <f ca="1">IF($C60-O$1&lt;År1,0,N59*(1-VLOOKUP($A60,[1]Hugst!$R$5:$W$9,MATCH(ROUNDUP((O$1)/10,0)*10,[1]Hugst!$R$4:$W$4,0))))</f>
        <v>70.293386882250417</v>
      </c>
      <c r="P60">
        <f ca="1">IF($C60-P$1&lt;År1,0,O59*(1-VLOOKUP($A60,[1]Hugst!$R$5:$W$9,MATCH(ROUNDUP((P$1)/10,0)*10,[1]Hugst!$R$4:$W$4,0))))</f>
        <v>70.439566194704895</v>
      </c>
      <c r="Q60">
        <f ca="1">IF($C60-Q$1&lt;År1,0,P59*(1-VLOOKUP($A60,[1]Hugst!$R$5:$W$9,MATCH(ROUNDUP((Q$1)/10,0)*10,[1]Hugst!$R$4:$W$4,0))))</f>
        <v>70.586480076568961</v>
      </c>
      <c r="R60">
        <f ca="1">IF($C60-R$1&lt;År1,0,Q59*(1-VLOOKUP($A60,[1]Hugst!$R$5:$W$9,MATCH(ROUNDUP((R$1)/10,0)*10,[1]Hugst!$R$4:$W$4,0))))</f>
        <v>70.734132219146801</v>
      </c>
      <c r="S60">
        <f ca="1">IF($C60-S$1&lt;År1,0,R59*(1-VLOOKUP($A60,[1]Hugst!$R$5:$W$9,MATCH(ROUNDUP((S$1)/10,0)*10,[1]Hugst!$R$4:$W$4,0))))</f>
        <v>70.882526332289189</v>
      </c>
      <c r="T60">
        <f ca="1">IF($C60-T$1&lt;År1,0,S59*(1-VLOOKUP($A60,[1]Hugst!$R$5:$W$9,MATCH(ROUNDUP((T$1)/10,0)*10,[1]Hugst!$R$4:$W$4,0))))</f>
        <v>71.031666144492959</v>
      </c>
      <c r="U60">
        <f ca="1">IF($C60-U$1&lt;År1,0,T59*(1-VLOOKUP($A60,[1]Hugst!$R$5:$W$9,MATCH(ROUNDUP((U$1)/10,0)*10,[1]Hugst!$R$4:$W$4,0))))</f>
        <v>71.181555402989858</v>
      </c>
      <c r="V60">
        <f ca="1">IF($C60-V$1&lt;År1,0,U59*(1-VLOOKUP($A60,[1]Hugst!$R$5:$W$9,MATCH(ROUNDUP((V$1)/10,0)*10,[1]Hugst!$R$4:$W$4,0))))</f>
        <v>71.332197873839419</v>
      </c>
      <c r="W60">
        <f ca="1">IF($C60-W$1&lt;År1,0,V59*(1-VLOOKUP($A60,[1]Hugst!$R$5:$W$9,MATCH(ROUNDUP((W$1)/10,0)*10,[1]Hugst!$R$4:$W$4,0))))</f>
        <v>105.19571855415381</v>
      </c>
      <c r="X60">
        <f ca="1">IF($C60-X$1&lt;År1,0,W59*(1-VLOOKUP($A60,[1]Hugst!$R$5:$W$9,MATCH(ROUNDUP((X$1)/10,0)*10,[1]Hugst!$R$4:$W$4,0))))</f>
        <v>105.34787882369238</v>
      </c>
      <c r="Y60">
        <f ca="1">IF($C60-Y$1&lt;År1,0,X59*(1-VLOOKUP($A60,[1]Hugst!$R$5:$W$9,MATCH(ROUNDUP((Y$1)/10,0)*10,[1]Hugst!$R$4:$W$4,0))))</f>
        <v>105.50080371770207</v>
      </c>
      <c r="Z60">
        <f ca="1">IF($C60-Z$1&lt;År1,0,Y59*(1-VLOOKUP($A60,[1]Hugst!$R$5:$W$9,MATCH(ROUNDUP((Z$1)/10,0)*10,[1]Hugst!$R$4:$W$4,0))))</f>
        <v>105.65449707851479</v>
      </c>
      <c r="AA60">
        <f ca="1">IF($C60-AA$1&lt;År1,0,Z59*(1-VLOOKUP($A60,[1]Hugst!$R$5:$W$9,MATCH(ROUNDUP((AA$1)/10,0)*10,[1]Hugst!$R$4:$W$4,0))))</f>
        <v>105.80896276777605</v>
      </c>
      <c r="AB60">
        <f ca="1">IF($C60-AB$1&lt;År1,0,AA59*(1-VLOOKUP($A60,[1]Hugst!$R$5:$W$9,MATCH(ROUNDUP((AB$1)/10,0)*10,[1]Hugst!$R$4:$W$4,0))))</f>
        <v>105.96420466652819</v>
      </c>
      <c r="AC60">
        <f ca="1">IF($C60-AC$1&lt;År1,0,AB59*(1-VLOOKUP($A60,[1]Hugst!$R$5:$W$9,MATCH(ROUNDUP((AC$1)/10,0)*10,[1]Hugst!$R$4:$W$4,0))))</f>
        <v>106.12022667532625</v>
      </c>
      <c r="AD60">
        <f ca="1">IF($C60-AD$1&lt;År1,0,AC59*(1-VLOOKUP($A60,[1]Hugst!$R$5:$W$9,MATCH(ROUNDUP((AD$1)/10,0)*10,[1]Hugst!$R$4:$W$4,0))))</f>
        <v>106.27703271431785</v>
      </c>
      <c r="AE60">
        <f ca="1">IF($C60-AE$1&lt;År1,0,AD59*(1-VLOOKUP($A60,[1]Hugst!$R$5:$W$9,MATCH(ROUNDUP((AE$1)/10,0)*10,[1]Hugst!$R$4:$W$4,0))))</f>
        <v>106.4346267233563</v>
      </c>
      <c r="AF60">
        <f ca="1">IF($C60-AF$1&lt;År1,0,AE59*(1-VLOOKUP($A60,[1]Hugst!$R$5:$W$9,MATCH(ROUNDUP((AF$1)/10,0)*10,[1]Hugst!$R$4:$W$4,0))))</f>
        <v>106.59301266208753</v>
      </c>
      <c r="AG60">
        <f ca="1">IF($C60-AG$1&lt;År1,0,AF59*(1-VLOOKUP($A60,[1]Hugst!$R$5:$W$9,MATCH(ROUNDUP((AG$1)/10,0)*10,[1]Hugst!$R$4:$W$4,0))))</f>
        <v>106.75219451005873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55000000000000004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68.871196066858175</v>
      </c>
      <c r="G61">
        <f ca="1">IF($C61-G$1&lt;År1,0,F60*(1-VLOOKUP($A61,[1]Hugst!$R$5:$W$9,MATCH(ROUNDUP((G$1)/10,0)*10,[1]Hugst!$R$4:$W$4,0))))</f>
        <v>69.010228691797948</v>
      </c>
      <c r="H61">
        <f ca="1">IF($C61-H$1&lt;År1,0,G60*(1-VLOOKUP($A61,[1]Hugst!$R$5:$W$9,MATCH(ROUNDUP((H$1)/10,0)*10,[1]Hugst!$R$4:$W$4,0))))</f>
        <v>69.149959973147048</v>
      </c>
      <c r="I61">
        <f ca="1">IF($C61-I$1&lt;År1,0,H60*(1-VLOOKUP($A61,[1]Hugst!$R$5:$W$9,MATCH(ROUNDUP((I$1)/10,0)*10,[1]Hugst!$R$4:$W$4,0))))</f>
        <v>69.290393421736468</v>
      </c>
      <c r="J61">
        <f ca="1">IF($C61-J$1&lt;År1,0,I60*(1-VLOOKUP($A61,[1]Hugst!$R$5:$W$9,MATCH(ROUNDUP((J$1)/10,0)*10,[1]Hugst!$R$4:$W$4,0))))</f>
        <v>69.431532566047878</v>
      </c>
      <c r="K61">
        <f ca="1">IF($C61-K$1&lt;År1,0,J60*(1-VLOOKUP($A61,[1]Hugst!$R$5:$W$9,MATCH(ROUNDUP((K$1)/10,0)*10,[1]Hugst!$R$4:$W$4,0))))</f>
        <v>69.573380952291387</v>
      </c>
      <c r="L61">
        <f ca="1">IF($C61-L$1&lt;År1,0,K60*(1-VLOOKUP($A61,[1]Hugst!$R$5:$W$9,MATCH(ROUNDUP((L$1)/10,0)*10,[1]Hugst!$R$4:$W$4,0))))</f>
        <v>69.715942144495131</v>
      </c>
      <c r="M61">
        <f ca="1">IF($C61-M$1&lt;År1,0,L60*(1-VLOOKUP($A61,[1]Hugst!$R$5:$W$9,MATCH(ROUNDUP((M$1)/10,0)*10,[1]Hugst!$R$4:$W$4,0))))</f>
        <v>69.859219724599853</v>
      </c>
      <c r="N61">
        <f ca="1">IF($C61-N$1&lt;År1,0,M60*(1-VLOOKUP($A61,[1]Hugst!$R$5:$W$9,MATCH(ROUNDUP((N$1)/10,0)*10,[1]Hugst!$R$4:$W$4,0))))</f>
        <v>70.003217292543724</v>
      </c>
      <c r="O61">
        <f ca="1">IF($C61-O$1&lt;År1,0,N60*(1-VLOOKUP($A61,[1]Hugst!$R$5:$W$9,MATCH(ROUNDUP((O$1)/10,0)*10,[1]Hugst!$R$4:$W$4,0))))</f>
        <v>70.147938466356578</v>
      </c>
      <c r="P61">
        <f ca="1">IF($C61-P$1&lt;År1,0,O60*(1-VLOOKUP($A61,[1]Hugst!$R$5:$W$9,MATCH(ROUNDUP((P$1)/10,0)*10,[1]Hugst!$R$4:$W$4,0))))</f>
        <v>70.293386882250417</v>
      </c>
      <c r="Q61">
        <f ca="1">IF($C61-Q$1&lt;År1,0,P60*(1-VLOOKUP($A61,[1]Hugst!$R$5:$W$9,MATCH(ROUNDUP((Q$1)/10,0)*10,[1]Hugst!$R$4:$W$4,0))))</f>
        <v>70.439566194704895</v>
      </c>
      <c r="R61">
        <f ca="1">IF($C61-R$1&lt;År1,0,Q60*(1-VLOOKUP($A61,[1]Hugst!$R$5:$W$9,MATCH(ROUNDUP((R$1)/10,0)*10,[1]Hugst!$R$4:$W$4,0))))</f>
        <v>70.586480076568961</v>
      </c>
      <c r="S61">
        <f ca="1">IF($C61-S$1&lt;År1,0,R60*(1-VLOOKUP($A61,[1]Hugst!$R$5:$W$9,MATCH(ROUNDUP((S$1)/10,0)*10,[1]Hugst!$R$4:$W$4,0))))</f>
        <v>70.734132219146801</v>
      </c>
      <c r="T61">
        <f ca="1">IF($C61-T$1&lt;År1,0,S60*(1-VLOOKUP($A61,[1]Hugst!$R$5:$W$9,MATCH(ROUNDUP((T$1)/10,0)*10,[1]Hugst!$R$4:$W$4,0))))</f>
        <v>70.882526332289189</v>
      </c>
      <c r="U61">
        <f ca="1">IF($C61-U$1&lt;År1,0,T60*(1-VLOOKUP($A61,[1]Hugst!$R$5:$W$9,MATCH(ROUNDUP((U$1)/10,0)*10,[1]Hugst!$R$4:$W$4,0))))</f>
        <v>71.031666144492959</v>
      </c>
      <c r="V61">
        <f ca="1">IF($C61-V$1&lt;År1,0,U60*(1-VLOOKUP($A61,[1]Hugst!$R$5:$W$9,MATCH(ROUNDUP((V$1)/10,0)*10,[1]Hugst!$R$4:$W$4,0))))</f>
        <v>71.181555402989858</v>
      </c>
      <c r="W61">
        <f ca="1">IF($C61-W$1&lt;År1,0,V60*(1-VLOOKUP($A61,[1]Hugst!$R$5:$W$9,MATCH(ROUNDUP((W$1)/10,0)*10,[1]Hugst!$R$4:$W$4,0))))</f>
        <v>71.332197873839419</v>
      </c>
      <c r="X61">
        <f ca="1">IF($C61-X$1&lt;År1,0,W60*(1-VLOOKUP($A61,[1]Hugst!$R$5:$W$9,MATCH(ROUNDUP((X$1)/10,0)*10,[1]Hugst!$R$4:$W$4,0))))</f>
        <v>105.19571855415381</v>
      </c>
      <c r="Y61">
        <f ca="1">IF($C61-Y$1&lt;År1,0,X60*(1-VLOOKUP($A61,[1]Hugst!$R$5:$W$9,MATCH(ROUNDUP((Y$1)/10,0)*10,[1]Hugst!$R$4:$W$4,0))))</f>
        <v>105.34787882369238</v>
      </c>
      <c r="Z61">
        <f ca="1">IF($C61-Z$1&lt;År1,0,Y60*(1-VLOOKUP($A61,[1]Hugst!$R$5:$W$9,MATCH(ROUNDUP((Z$1)/10,0)*10,[1]Hugst!$R$4:$W$4,0))))</f>
        <v>105.50080371770207</v>
      </c>
      <c r="AA61">
        <f ca="1">IF($C61-AA$1&lt;År1,0,Z60*(1-VLOOKUP($A61,[1]Hugst!$R$5:$W$9,MATCH(ROUNDUP((AA$1)/10,0)*10,[1]Hugst!$R$4:$W$4,0))))</f>
        <v>105.65449707851479</v>
      </c>
      <c r="AB61">
        <f ca="1">IF($C61-AB$1&lt;År1,0,AA60*(1-VLOOKUP($A61,[1]Hugst!$R$5:$W$9,MATCH(ROUNDUP((AB$1)/10,0)*10,[1]Hugst!$R$4:$W$4,0))))</f>
        <v>105.80896276777605</v>
      </c>
      <c r="AC61">
        <f ca="1">IF($C61-AC$1&lt;År1,0,AB60*(1-VLOOKUP($A61,[1]Hugst!$R$5:$W$9,MATCH(ROUNDUP((AC$1)/10,0)*10,[1]Hugst!$R$4:$W$4,0))))</f>
        <v>105.96420466652819</v>
      </c>
      <c r="AD61">
        <f ca="1">IF($C61-AD$1&lt;År1,0,AC60*(1-VLOOKUP($A61,[1]Hugst!$R$5:$W$9,MATCH(ROUNDUP((AD$1)/10,0)*10,[1]Hugst!$R$4:$W$4,0))))</f>
        <v>106.12022667532625</v>
      </c>
      <c r="AE61">
        <f ca="1">IF($C61-AE$1&lt;År1,0,AD60*(1-VLOOKUP($A61,[1]Hugst!$R$5:$W$9,MATCH(ROUNDUP((AE$1)/10,0)*10,[1]Hugst!$R$4:$W$4,0))))</f>
        <v>106.27703271431785</v>
      </c>
      <c r="AF61">
        <f ca="1">IF($C61-AF$1&lt;År1,0,AE60*(1-VLOOKUP($A61,[1]Hugst!$R$5:$W$9,MATCH(ROUNDUP((AF$1)/10,0)*10,[1]Hugst!$R$4:$W$4,0))))</f>
        <v>106.4346267233563</v>
      </c>
      <c r="AG61">
        <f ca="1">IF($C61-AG$1&lt;År1,0,AF60*(1-VLOOKUP($A61,[1]Hugst!$R$5:$W$9,MATCH(ROUNDUP((AG$1)/10,0)*10,[1]Hugst!$R$4:$W$4,0))))</f>
        <v>106.59301266208753</v>
      </c>
      <c r="AH61">
        <f ca="1">IF($C61-AH$1&lt;År1,0,AG60*(1-VLOOKUP($A61,[1]Hugst!$R$5:$W$9,MATCH(ROUNDUP((AH$1)/10,0)*10,[1]Hugst!$R$4:$W$4,0))))</f>
        <v>106.75219451005873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55000000000000004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68.73285860504339</v>
      </c>
      <c r="G62">
        <f ca="1">IF($C62-G$1&lt;År1,0,F61*(1-VLOOKUP($A62,[1]Hugst!$R$5:$W$9,MATCH(ROUNDUP((G$1)/10,0)*10,[1]Hugst!$R$4:$W$4,0))))</f>
        <v>68.871196066858175</v>
      </c>
      <c r="H62">
        <f ca="1">IF($C62-H$1&lt;År1,0,G61*(1-VLOOKUP($A62,[1]Hugst!$R$5:$W$9,MATCH(ROUNDUP((H$1)/10,0)*10,[1]Hugst!$R$4:$W$4,0))))</f>
        <v>69.010228691797948</v>
      </c>
      <c r="I62">
        <f ca="1">IF($C62-I$1&lt;År1,0,H61*(1-VLOOKUP($A62,[1]Hugst!$R$5:$W$9,MATCH(ROUNDUP((I$1)/10,0)*10,[1]Hugst!$R$4:$W$4,0))))</f>
        <v>69.149959973147048</v>
      </c>
      <c r="J62">
        <f ca="1">IF($C62-J$1&lt;År1,0,I61*(1-VLOOKUP($A62,[1]Hugst!$R$5:$W$9,MATCH(ROUNDUP((J$1)/10,0)*10,[1]Hugst!$R$4:$W$4,0))))</f>
        <v>69.290393421736468</v>
      </c>
      <c r="K62">
        <f ca="1">IF($C62-K$1&lt;År1,0,J61*(1-VLOOKUP($A62,[1]Hugst!$R$5:$W$9,MATCH(ROUNDUP((K$1)/10,0)*10,[1]Hugst!$R$4:$W$4,0))))</f>
        <v>69.431532566047878</v>
      </c>
      <c r="L62">
        <f ca="1">IF($C62-L$1&lt;År1,0,K61*(1-VLOOKUP($A62,[1]Hugst!$R$5:$W$9,MATCH(ROUNDUP((L$1)/10,0)*10,[1]Hugst!$R$4:$W$4,0))))</f>
        <v>69.573380952291387</v>
      </c>
      <c r="M62">
        <f ca="1">IF($C62-M$1&lt;År1,0,L61*(1-VLOOKUP($A62,[1]Hugst!$R$5:$W$9,MATCH(ROUNDUP((M$1)/10,0)*10,[1]Hugst!$R$4:$W$4,0))))</f>
        <v>69.715942144495131</v>
      </c>
      <c r="N62">
        <f ca="1">IF($C62-N$1&lt;År1,0,M61*(1-VLOOKUP($A62,[1]Hugst!$R$5:$W$9,MATCH(ROUNDUP((N$1)/10,0)*10,[1]Hugst!$R$4:$W$4,0))))</f>
        <v>69.859219724599853</v>
      </c>
      <c r="O62">
        <f ca="1">IF($C62-O$1&lt;År1,0,N61*(1-VLOOKUP($A62,[1]Hugst!$R$5:$W$9,MATCH(ROUNDUP((O$1)/10,0)*10,[1]Hugst!$R$4:$W$4,0))))</f>
        <v>70.003217292543724</v>
      </c>
      <c r="P62">
        <f ca="1">IF($C62-P$1&lt;År1,0,O61*(1-VLOOKUP($A62,[1]Hugst!$R$5:$W$9,MATCH(ROUNDUP((P$1)/10,0)*10,[1]Hugst!$R$4:$W$4,0))))</f>
        <v>70.147938466356578</v>
      </c>
      <c r="Q62">
        <f ca="1">IF($C62-Q$1&lt;År1,0,P61*(1-VLOOKUP($A62,[1]Hugst!$R$5:$W$9,MATCH(ROUNDUP((Q$1)/10,0)*10,[1]Hugst!$R$4:$W$4,0))))</f>
        <v>70.293386882250417</v>
      </c>
      <c r="R62">
        <f ca="1">IF($C62-R$1&lt;År1,0,Q61*(1-VLOOKUP($A62,[1]Hugst!$R$5:$W$9,MATCH(ROUNDUP((R$1)/10,0)*10,[1]Hugst!$R$4:$W$4,0))))</f>
        <v>70.439566194704895</v>
      </c>
      <c r="S62">
        <f ca="1">IF($C62-S$1&lt;År1,0,R61*(1-VLOOKUP($A62,[1]Hugst!$R$5:$W$9,MATCH(ROUNDUP((S$1)/10,0)*10,[1]Hugst!$R$4:$W$4,0))))</f>
        <v>70.586480076568961</v>
      </c>
      <c r="T62">
        <f ca="1">IF($C62-T$1&lt;År1,0,S61*(1-VLOOKUP($A62,[1]Hugst!$R$5:$W$9,MATCH(ROUNDUP((T$1)/10,0)*10,[1]Hugst!$R$4:$W$4,0))))</f>
        <v>70.734132219146801</v>
      </c>
      <c r="U62">
        <f ca="1">IF($C62-U$1&lt;År1,0,T61*(1-VLOOKUP($A62,[1]Hugst!$R$5:$W$9,MATCH(ROUNDUP((U$1)/10,0)*10,[1]Hugst!$R$4:$W$4,0))))</f>
        <v>70.882526332289189</v>
      </c>
      <c r="V62">
        <f ca="1">IF($C62-V$1&lt;År1,0,U61*(1-VLOOKUP($A62,[1]Hugst!$R$5:$W$9,MATCH(ROUNDUP((V$1)/10,0)*10,[1]Hugst!$R$4:$W$4,0))))</f>
        <v>71.031666144492959</v>
      </c>
      <c r="W62">
        <f ca="1">IF($C62-W$1&lt;År1,0,V61*(1-VLOOKUP($A62,[1]Hugst!$R$5:$W$9,MATCH(ROUNDUP((W$1)/10,0)*10,[1]Hugst!$R$4:$W$4,0))))</f>
        <v>71.181555402989858</v>
      </c>
      <c r="X62">
        <f ca="1">IF($C62-X$1&lt;År1,0,W61*(1-VLOOKUP($A62,[1]Hugst!$R$5:$W$9,MATCH(ROUNDUP((X$1)/10,0)*10,[1]Hugst!$R$4:$W$4,0))))</f>
        <v>71.332197873839419</v>
      </c>
      <c r="Y62">
        <f ca="1">IF($C62-Y$1&lt;År1,0,X61*(1-VLOOKUP($A62,[1]Hugst!$R$5:$W$9,MATCH(ROUNDUP((Y$1)/10,0)*10,[1]Hugst!$R$4:$W$4,0))))</f>
        <v>105.19571855415381</v>
      </c>
      <c r="Z62">
        <f ca="1">IF($C62-Z$1&lt;År1,0,Y61*(1-VLOOKUP($A62,[1]Hugst!$R$5:$W$9,MATCH(ROUNDUP((Z$1)/10,0)*10,[1]Hugst!$R$4:$W$4,0))))</f>
        <v>105.34787882369238</v>
      </c>
      <c r="AA62">
        <f ca="1">IF($C62-AA$1&lt;År1,0,Z61*(1-VLOOKUP($A62,[1]Hugst!$R$5:$W$9,MATCH(ROUNDUP((AA$1)/10,0)*10,[1]Hugst!$R$4:$W$4,0))))</f>
        <v>105.50080371770207</v>
      </c>
      <c r="AB62">
        <f ca="1">IF($C62-AB$1&lt;År1,0,AA61*(1-VLOOKUP($A62,[1]Hugst!$R$5:$W$9,MATCH(ROUNDUP((AB$1)/10,0)*10,[1]Hugst!$R$4:$W$4,0))))</f>
        <v>105.65449707851479</v>
      </c>
      <c r="AC62">
        <f ca="1">IF($C62-AC$1&lt;År1,0,AB61*(1-VLOOKUP($A62,[1]Hugst!$R$5:$W$9,MATCH(ROUNDUP((AC$1)/10,0)*10,[1]Hugst!$R$4:$W$4,0))))</f>
        <v>105.80896276777605</v>
      </c>
      <c r="AD62">
        <f ca="1">IF($C62-AD$1&lt;År1,0,AC61*(1-VLOOKUP($A62,[1]Hugst!$R$5:$W$9,MATCH(ROUNDUP((AD$1)/10,0)*10,[1]Hugst!$R$4:$W$4,0))))</f>
        <v>105.96420466652819</v>
      </c>
      <c r="AE62">
        <f ca="1">IF($C62-AE$1&lt;År1,0,AD61*(1-VLOOKUP($A62,[1]Hugst!$R$5:$W$9,MATCH(ROUNDUP((AE$1)/10,0)*10,[1]Hugst!$R$4:$W$4,0))))</f>
        <v>106.12022667532625</v>
      </c>
      <c r="AF62">
        <f ca="1">IF($C62-AF$1&lt;År1,0,AE61*(1-VLOOKUP($A62,[1]Hugst!$R$5:$W$9,MATCH(ROUNDUP((AF$1)/10,0)*10,[1]Hugst!$R$4:$W$4,0))))</f>
        <v>106.27703271431785</v>
      </c>
      <c r="AG62">
        <f ca="1">IF($C62-AG$1&lt;År1,0,AF61*(1-VLOOKUP($A62,[1]Hugst!$R$5:$W$9,MATCH(ROUNDUP((AG$1)/10,0)*10,[1]Hugst!$R$4:$W$4,0))))</f>
        <v>106.4346267233563</v>
      </c>
      <c r="AH62">
        <f ca="1">IF($C62-AH$1&lt;År1,0,AG61*(1-VLOOKUP($A62,[1]Hugst!$R$5:$W$9,MATCH(ROUNDUP((AH$1)/10,0)*10,[1]Hugst!$R$4:$W$4,0))))</f>
        <v>106.59301266208753</v>
      </c>
      <c r="AI62">
        <f ca="1">IF($C62-AI$1&lt;År1,0,AH61*(1-VLOOKUP($A62,[1]Hugst!$R$5:$W$9,MATCH(ROUNDUP((AI$1)/10,0)*10,[1]Hugst!$R$4:$W$4,0))))</f>
        <v>106.75219451005873</v>
      </c>
      <c r="AJ62">
        <f>IF($C62-AJ$1&lt;År1,0,AI61*(1-VLOOKUP($A62,[1]Hugst!$R$5:$W$9,MATCH(ROUNDUP((AJ$1)/10,0)*10,[1]Hugst!$R$4:$W$4,0))))</f>
        <v>0</v>
      </c>
    </row>
    <row r="63" spans="1:38" x14ac:dyDescent="0.55000000000000004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0.35205510955438513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68.947267940090711</v>
      </c>
      <c r="G63">
        <f ca="1">IF($C63-G$1&lt;År1,0,F62*(1-VLOOKUP($A63,[1]Hugst!$R$5:$W$9,MATCH(ROUNDUP((G$1)/10,0)*10,[1]Hugst!$R$4:$W$4,0))))</f>
        <v>68.73285860504339</v>
      </c>
      <c r="H63">
        <f ca="1">IF($C63-H$1&lt;År1,0,G62*(1-VLOOKUP($A63,[1]Hugst!$R$5:$W$9,MATCH(ROUNDUP((H$1)/10,0)*10,[1]Hugst!$R$4:$W$4,0))))</f>
        <v>68.871196066858175</v>
      </c>
      <c r="I63">
        <f ca="1">IF($C63-I$1&lt;År1,0,H62*(1-VLOOKUP($A63,[1]Hugst!$R$5:$W$9,MATCH(ROUNDUP((I$1)/10,0)*10,[1]Hugst!$R$4:$W$4,0))))</f>
        <v>69.010228691797948</v>
      </c>
      <c r="J63">
        <f ca="1">IF($C63-J$1&lt;År1,0,I62*(1-VLOOKUP($A63,[1]Hugst!$R$5:$W$9,MATCH(ROUNDUP((J$1)/10,0)*10,[1]Hugst!$R$4:$W$4,0))))</f>
        <v>69.149959973147048</v>
      </c>
      <c r="K63">
        <f ca="1">IF($C63-K$1&lt;År1,0,J62*(1-VLOOKUP($A63,[1]Hugst!$R$5:$W$9,MATCH(ROUNDUP((K$1)/10,0)*10,[1]Hugst!$R$4:$W$4,0))))</f>
        <v>69.290393421736468</v>
      </c>
      <c r="L63">
        <f ca="1">IF($C63-L$1&lt;År1,0,K62*(1-VLOOKUP($A63,[1]Hugst!$R$5:$W$9,MATCH(ROUNDUP((L$1)/10,0)*10,[1]Hugst!$R$4:$W$4,0))))</f>
        <v>69.431532566047878</v>
      </c>
      <c r="M63">
        <f ca="1">IF($C63-M$1&lt;År1,0,L62*(1-VLOOKUP($A63,[1]Hugst!$R$5:$W$9,MATCH(ROUNDUP((M$1)/10,0)*10,[1]Hugst!$R$4:$W$4,0))))</f>
        <v>69.573380952291387</v>
      </c>
      <c r="N63">
        <f ca="1">IF($C63-N$1&lt;År1,0,M62*(1-VLOOKUP($A63,[1]Hugst!$R$5:$W$9,MATCH(ROUNDUP((N$1)/10,0)*10,[1]Hugst!$R$4:$W$4,0))))</f>
        <v>69.715942144495131</v>
      </c>
      <c r="O63">
        <f ca="1">IF($C63-O$1&lt;År1,0,N62*(1-VLOOKUP($A63,[1]Hugst!$R$5:$W$9,MATCH(ROUNDUP((O$1)/10,0)*10,[1]Hugst!$R$4:$W$4,0))))</f>
        <v>69.859219724599853</v>
      </c>
      <c r="P63">
        <f ca="1">IF($C63-P$1&lt;År1,0,O62*(1-VLOOKUP($A63,[1]Hugst!$R$5:$W$9,MATCH(ROUNDUP((P$1)/10,0)*10,[1]Hugst!$R$4:$W$4,0))))</f>
        <v>70.003217292543724</v>
      </c>
      <c r="Q63">
        <f ca="1">IF($C63-Q$1&lt;År1,0,P62*(1-VLOOKUP($A63,[1]Hugst!$R$5:$W$9,MATCH(ROUNDUP((Q$1)/10,0)*10,[1]Hugst!$R$4:$W$4,0))))</f>
        <v>70.147938466356578</v>
      </c>
      <c r="R63">
        <f ca="1">IF($C63-R$1&lt;År1,0,Q62*(1-VLOOKUP($A63,[1]Hugst!$R$5:$W$9,MATCH(ROUNDUP((R$1)/10,0)*10,[1]Hugst!$R$4:$W$4,0))))</f>
        <v>70.293386882250417</v>
      </c>
      <c r="S63">
        <f ca="1">IF($C63-S$1&lt;År1,0,R62*(1-VLOOKUP($A63,[1]Hugst!$R$5:$W$9,MATCH(ROUNDUP((S$1)/10,0)*10,[1]Hugst!$R$4:$W$4,0))))</f>
        <v>70.439566194704895</v>
      </c>
      <c r="T63">
        <f ca="1">IF($C63-T$1&lt;År1,0,S62*(1-VLOOKUP($A63,[1]Hugst!$R$5:$W$9,MATCH(ROUNDUP((T$1)/10,0)*10,[1]Hugst!$R$4:$W$4,0))))</f>
        <v>70.586480076568961</v>
      </c>
      <c r="U63">
        <f ca="1">IF($C63-U$1&lt;År1,0,T62*(1-VLOOKUP($A63,[1]Hugst!$R$5:$W$9,MATCH(ROUNDUP((U$1)/10,0)*10,[1]Hugst!$R$4:$W$4,0))))</f>
        <v>70.734132219146801</v>
      </c>
      <c r="V63">
        <f ca="1">IF($C63-V$1&lt;År1,0,U62*(1-VLOOKUP($A63,[1]Hugst!$R$5:$W$9,MATCH(ROUNDUP((V$1)/10,0)*10,[1]Hugst!$R$4:$W$4,0))))</f>
        <v>70.882526332289189</v>
      </c>
      <c r="W63">
        <f ca="1">IF($C63-W$1&lt;År1,0,V62*(1-VLOOKUP($A63,[1]Hugst!$R$5:$W$9,MATCH(ROUNDUP((W$1)/10,0)*10,[1]Hugst!$R$4:$W$4,0))))</f>
        <v>71.031666144492959</v>
      </c>
      <c r="X63">
        <f ca="1">IF($C63-X$1&lt;År1,0,W62*(1-VLOOKUP($A63,[1]Hugst!$R$5:$W$9,MATCH(ROUNDUP((X$1)/10,0)*10,[1]Hugst!$R$4:$W$4,0))))</f>
        <v>71.181555402989858</v>
      </c>
      <c r="Y63">
        <f ca="1">IF($C63-Y$1&lt;År1,0,X62*(1-VLOOKUP($A63,[1]Hugst!$R$5:$W$9,MATCH(ROUNDUP((Y$1)/10,0)*10,[1]Hugst!$R$4:$W$4,0))))</f>
        <v>71.332197873839419</v>
      </c>
      <c r="Z63">
        <f ca="1">IF($C63-Z$1&lt;År1,0,Y62*(1-VLOOKUP($A63,[1]Hugst!$R$5:$W$9,MATCH(ROUNDUP((Z$1)/10,0)*10,[1]Hugst!$R$4:$W$4,0))))</f>
        <v>105.19571855415381</v>
      </c>
      <c r="AA63">
        <f ca="1">IF($C63-AA$1&lt;År1,0,Z62*(1-VLOOKUP($A63,[1]Hugst!$R$5:$W$9,MATCH(ROUNDUP((AA$1)/10,0)*10,[1]Hugst!$R$4:$W$4,0))))</f>
        <v>105.34787882369238</v>
      </c>
      <c r="AB63">
        <f ca="1">IF($C63-AB$1&lt;År1,0,AA62*(1-VLOOKUP($A63,[1]Hugst!$R$5:$W$9,MATCH(ROUNDUP((AB$1)/10,0)*10,[1]Hugst!$R$4:$W$4,0))))</f>
        <v>105.50080371770207</v>
      </c>
      <c r="AC63">
        <f ca="1">IF($C63-AC$1&lt;År1,0,AB62*(1-VLOOKUP($A63,[1]Hugst!$R$5:$W$9,MATCH(ROUNDUP((AC$1)/10,0)*10,[1]Hugst!$R$4:$W$4,0))))</f>
        <v>105.65449707851479</v>
      </c>
      <c r="AD63">
        <f ca="1">IF($C63-AD$1&lt;År1,0,AC62*(1-VLOOKUP($A63,[1]Hugst!$R$5:$W$9,MATCH(ROUNDUP((AD$1)/10,0)*10,[1]Hugst!$R$4:$W$4,0))))</f>
        <v>105.80896276777605</v>
      </c>
      <c r="AE63">
        <f ca="1">IF($C63-AE$1&lt;År1,0,AD62*(1-VLOOKUP($A63,[1]Hugst!$R$5:$W$9,MATCH(ROUNDUP((AE$1)/10,0)*10,[1]Hugst!$R$4:$W$4,0))))</f>
        <v>105.96420466652819</v>
      </c>
      <c r="AF63">
        <f ca="1">IF($C63-AF$1&lt;År1,0,AE62*(1-VLOOKUP($A63,[1]Hugst!$R$5:$W$9,MATCH(ROUNDUP((AF$1)/10,0)*10,[1]Hugst!$R$4:$W$4,0))))</f>
        <v>106.12022667532625</v>
      </c>
      <c r="AG63">
        <f ca="1">IF($C63-AG$1&lt;År1,0,AF62*(1-VLOOKUP($A63,[1]Hugst!$R$5:$W$9,MATCH(ROUNDUP((AG$1)/10,0)*10,[1]Hugst!$R$4:$W$4,0))))</f>
        <v>106.27703271431785</v>
      </c>
      <c r="AH63">
        <f ca="1">IF($C63-AH$1&lt;År1,0,AG62*(1-VLOOKUP($A63,[1]Hugst!$R$5:$W$9,MATCH(ROUNDUP((AH$1)/10,0)*10,[1]Hugst!$R$4:$W$4,0))))</f>
        <v>106.4346267233563</v>
      </c>
      <c r="AI63">
        <f ca="1">IF($C63-AI$1&lt;År1,0,AH62*(1-VLOOKUP($A63,[1]Hugst!$R$5:$W$9,MATCH(ROUNDUP((AI$1)/10,0)*10,[1]Hugst!$R$4:$W$4,0))))</f>
        <v>106.59301266208753</v>
      </c>
      <c r="AJ63">
        <f ca="1">IF($C63-AJ$1&lt;År1,0,AI62*(1-VLOOKUP($A63,[1]Hugst!$R$5:$W$9,MATCH(ROUNDUP((AJ$1)/10,0)*10,[1]Hugst!$R$4:$W$4,0))))</f>
        <v>106.40013940050427</v>
      </c>
      <c r="AL63">
        <f ca="1">SUM(F63:AJ63)</f>
        <v>2564.51175075525</v>
      </c>
    </row>
    <row r="64" spans="1:38" x14ac:dyDescent="0.55000000000000004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5418.2891130458347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55000000000000004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5413.3946371775519</v>
      </c>
      <c r="G65">
        <f ca="1">IF($C65-G$1&lt;År1,0,F64*(1-VLOOKUP($A65,[1]Hugst!$R$5:$W$9,MATCH(ROUNDUP((G$1)/10,0)*10,[1]Hugst!$R$4:$W$4,0))))</f>
        <v>5418.2891130458347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55000000000000004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5408.5246336886621</v>
      </c>
      <c r="G66">
        <f ca="1">IF($C66-G$1&lt;År1,0,F65*(1-VLOOKUP($A66,[1]Hugst!$R$5:$W$9,MATCH(ROUNDUP((G$1)/10,0)*10,[1]Hugst!$R$4:$W$4,0))))</f>
        <v>5413.3946371775519</v>
      </c>
      <c r="H66">
        <f ca="1">IF($C66-H$1&lt;År1,0,G65*(1-VLOOKUP($A66,[1]Hugst!$R$5:$W$9,MATCH(ROUNDUP((H$1)/10,0)*10,[1]Hugst!$R$4:$W$4,0))))</f>
        <v>5418.2891130458347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55000000000000004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5403.6789802171825</v>
      </c>
      <c r="G67">
        <f ca="1">IF($C67-G$1&lt;År1,0,F66*(1-VLOOKUP($A67,[1]Hugst!$R$5:$W$9,MATCH(ROUNDUP((G$1)/10,0)*10,[1]Hugst!$R$4:$W$4,0))))</f>
        <v>5408.5246336886621</v>
      </c>
      <c r="H67">
        <f ca="1">IF($C67-H$1&lt;År1,0,G66*(1-VLOOKUP($A67,[1]Hugst!$R$5:$W$9,MATCH(ROUNDUP((H$1)/10,0)*10,[1]Hugst!$R$4:$W$4,0))))</f>
        <v>5413.3946371775519</v>
      </c>
      <c r="I67">
        <f ca="1">IF($C67-I$1&lt;År1,0,H66*(1-VLOOKUP($A67,[1]Hugst!$R$5:$W$9,MATCH(ROUNDUP((I$1)/10,0)*10,[1]Hugst!$R$4:$W$4,0))))</f>
        <v>5418.2891130458347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55000000000000004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5398.8575550130645</v>
      </c>
      <c r="G68">
        <f ca="1">IF($C68-G$1&lt;År1,0,F67*(1-VLOOKUP($A68,[1]Hugst!$R$5:$W$9,MATCH(ROUNDUP((G$1)/10,0)*10,[1]Hugst!$R$4:$W$4,0))))</f>
        <v>5403.6789802171825</v>
      </c>
      <c r="H68">
        <f ca="1">IF($C68-H$1&lt;År1,0,G67*(1-VLOOKUP($A68,[1]Hugst!$R$5:$W$9,MATCH(ROUNDUP((H$1)/10,0)*10,[1]Hugst!$R$4:$W$4,0))))</f>
        <v>5408.5246336886621</v>
      </c>
      <c r="I68">
        <f ca="1">IF($C68-I$1&lt;År1,0,H67*(1-VLOOKUP($A68,[1]Hugst!$R$5:$W$9,MATCH(ROUNDUP((I$1)/10,0)*10,[1]Hugst!$R$4:$W$4,0))))</f>
        <v>5413.3946371775519</v>
      </c>
      <c r="J68">
        <f ca="1">IF($C68-J$1&lt;År1,0,I67*(1-VLOOKUP($A68,[1]Hugst!$R$5:$W$9,MATCH(ROUNDUP((J$1)/10,0)*10,[1]Hugst!$R$4:$W$4,0))))</f>
        <v>5418.2891130458347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55000000000000004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5394.0602369349645</v>
      </c>
      <c r="G69">
        <f ca="1">IF($C69-G$1&lt;År1,0,F68*(1-VLOOKUP($A69,[1]Hugst!$R$5:$W$9,MATCH(ROUNDUP((G$1)/10,0)*10,[1]Hugst!$R$4:$W$4,0))))</f>
        <v>5398.8575550130645</v>
      </c>
      <c r="H69">
        <f ca="1">IF($C69-H$1&lt;År1,0,G68*(1-VLOOKUP($A69,[1]Hugst!$R$5:$W$9,MATCH(ROUNDUP((H$1)/10,0)*10,[1]Hugst!$R$4:$W$4,0))))</f>
        <v>5403.6789802171825</v>
      </c>
      <c r="I69">
        <f ca="1">IF($C69-I$1&lt;År1,0,H68*(1-VLOOKUP($A69,[1]Hugst!$R$5:$W$9,MATCH(ROUNDUP((I$1)/10,0)*10,[1]Hugst!$R$4:$W$4,0))))</f>
        <v>5408.5246336886621</v>
      </c>
      <c r="J69">
        <f ca="1">IF($C69-J$1&lt;År1,0,I68*(1-VLOOKUP($A69,[1]Hugst!$R$5:$W$9,MATCH(ROUNDUP((J$1)/10,0)*10,[1]Hugst!$R$4:$W$4,0))))</f>
        <v>5413.3946371775519</v>
      </c>
      <c r="K69">
        <f ca="1">IF($C69-K$1&lt;År1,0,J68*(1-VLOOKUP($A69,[1]Hugst!$R$5:$W$9,MATCH(ROUNDUP((K$1)/10,0)*10,[1]Hugst!$R$4:$W$4,0))))</f>
        <v>5418.2891130458347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55000000000000004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5389.286905447264</v>
      </c>
      <c r="G70">
        <f ca="1">IF($C70-G$1&lt;År1,0,F69*(1-VLOOKUP($A70,[1]Hugst!$R$5:$W$9,MATCH(ROUNDUP((G$1)/10,0)*10,[1]Hugst!$R$4:$W$4,0))))</f>
        <v>5394.0602369349645</v>
      </c>
      <c r="H70">
        <f ca="1">IF($C70-H$1&lt;År1,0,G69*(1-VLOOKUP($A70,[1]Hugst!$R$5:$W$9,MATCH(ROUNDUP((H$1)/10,0)*10,[1]Hugst!$R$4:$W$4,0))))</f>
        <v>5398.8575550130645</v>
      </c>
      <c r="I70">
        <f ca="1">IF($C70-I$1&lt;År1,0,H69*(1-VLOOKUP($A70,[1]Hugst!$R$5:$W$9,MATCH(ROUNDUP((I$1)/10,0)*10,[1]Hugst!$R$4:$W$4,0))))</f>
        <v>5403.6789802171825</v>
      </c>
      <c r="J70">
        <f ca="1">IF($C70-J$1&lt;År1,0,I69*(1-VLOOKUP($A70,[1]Hugst!$R$5:$W$9,MATCH(ROUNDUP((J$1)/10,0)*10,[1]Hugst!$R$4:$W$4,0))))</f>
        <v>5408.5246336886621</v>
      </c>
      <c r="K70">
        <f ca="1">IF($C70-K$1&lt;År1,0,J69*(1-VLOOKUP($A70,[1]Hugst!$R$5:$W$9,MATCH(ROUNDUP((K$1)/10,0)*10,[1]Hugst!$R$4:$W$4,0))))</f>
        <v>5413.3946371775519</v>
      </c>
      <c r="L70">
        <f ca="1">IF($C70-L$1&lt;År1,0,K69*(1-VLOOKUP($A70,[1]Hugst!$R$5:$W$9,MATCH(ROUNDUP((L$1)/10,0)*10,[1]Hugst!$R$4:$W$4,0))))</f>
        <v>5418.2891130458347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55000000000000004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5384.5374406170058</v>
      </c>
      <c r="G71">
        <f ca="1">IF($C71-G$1&lt;År1,0,F70*(1-VLOOKUP($A71,[1]Hugst!$R$5:$W$9,MATCH(ROUNDUP((G$1)/10,0)*10,[1]Hugst!$R$4:$W$4,0))))</f>
        <v>5389.286905447264</v>
      </c>
      <c r="H71">
        <f ca="1">IF($C71-H$1&lt;År1,0,G70*(1-VLOOKUP($A71,[1]Hugst!$R$5:$W$9,MATCH(ROUNDUP((H$1)/10,0)*10,[1]Hugst!$R$4:$W$4,0))))</f>
        <v>5394.0602369349645</v>
      </c>
      <c r="I71">
        <f ca="1">IF($C71-I$1&lt;År1,0,H70*(1-VLOOKUP($A71,[1]Hugst!$R$5:$W$9,MATCH(ROUNDUP((I$1)/10,0)*10,[1]Hugst!$R$4:$W$4,0))))</f>
        <v>5398.8575550130645</v>
      </c>
      <c r="J71">
        <f ca="1">IF($C71-J$1&lt;År1,0,I70*(1-VLOOKUP($A71,[1]Hugst!$R$5:$W$9,MATCH(ROUNDUP((J$1)/10,0)*10,[1]Hugst!$R$4:$W$4,0))))</f>
        <v>5403.6789802171825</v>
      </c>
      <c r="K71">
        <f ca="1">IF($C71-K$1&lt;År1,0,J70*(1-VLOOKUP($A71,[1]Hugst!$R$5:$W$9,MATCH(ROUNDUP((K$1)/10,0)*10,[1]Hugst!$R$4:$W$4,0))))</f>
        <v>5408.5246336886621</v>
      </c>
      <c r="L71">
        <f ca="1">IF($C71-L$1&lt;År1,0,K70*(1-VLOOKUP($A71,[1]Hugst!$R$5:$W$9,MATCH(ROUNDUP((L$1)/10,0)*10,[1]Hugst!$R$4:$W$4,0))))</f>
        <v>5413.3946371775519</v>
      </c>
      <c r="M71">
        <f ca="1">IF($C71-M$1&lt;År1,0,L70*(1-VLOOKUP($A71,[1]Hugst!$R$5:$W$9,MATCH(ROUNDUP((M$1)/10,0)*10,[1]Hugst!$R$4:$W$4,0))))</f>
        <v>5418.2891130458347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55000000000000004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5379.8117231109036</v>
      </c>
      <c r="G72">
        <f ca="1">IF($C72-G$1&lt;År1,0,F71*(1-VLOOKUP($A72,[1]Hugst!$R$5:$W$9,MATCH(ROUNDUP((G$1)/10,0)*10,[1]Hugst!$R$4:$W$4,0))))</f>
        <v>5384.5374406170058</v>
      </c>
      <c r="H72">
        <f ca="1">IF($C72-H$1&lt;År1,0,G71*(1-VLOOKUP($A72,[1]Hugst!$R$5:$W$9,MATCH(ROUNDUP((H$1)/10,0)*10,[1]Hugst!$R$4:$W$4,0))))</f>
        <v>5389.286905447264</v>
      </c>
      <c r="I72">
        <f ca="1">IF($C72-I$1&lt;År1,0,H71*(1-VLOOKUP($A72,[1]Hugst!$R$5:$W$9,MATCH(ROUNDUP((I$1)/10,0)*10,[1]Hugst!$R$4:$W$4,0))))</f>
        <v>5394.0602369349645</v>
      </c>
      <c r="J72">
        <f ca="1">IF($C72-J$1&lt;År1,0,I71*(1-VLOOKUP($A72,[1]Hugst!$R$5:$W$9,MATCH(ROUNDUP((J$1)/10,0)*10,[1]Hugst!$R$4:$W$4,0))))</f>
        <v>5398.8575550130645</v>
      </c>
      <c r="K72">
        <f ca="1">IF($C72-K$1&lt;År1,0,J71*(1-VLOOKUP($A72,[1]Hugst!$R$5:$W$9,MATCH(ROUNDUP((K$1)/10,0)*10,[1]Hugst!$R$4:$W$4,0))))</f>
        <v>5403.6789802171825</v>
      </c>
      <c r="L72">
        <f ca="1">IF($C72-L$1&lt;År1,0,K71*(1-VLOOKUP($A72,[1]Hugst!$R$5:$W$9,MATCH(ROUNDUP((L$1)/10,0)*10,[1]Hugst!$R$4:$W$4,0))))</f>
        <v>5408.5246336886621</v>
      </c>
      <c r="M72">
        <f ca="1">IF($C72-M$1&lt;År1,0,L71*(1-VLOOKUP($A72,[1]Hugst!$R$5:$W$9,MATCH(ROUNDUP((M$1)/10,0)*10,[1]Hugst!$R$4:$W$4,0))))</f>
        <v>5413.3946371775519</v>
      </c>
      <c r="N72">
        <f ca="1">IF($C72-N$1&lt;År1,0,M71*(1-VLOOKUP($A72,[1]Hugst!$R$5:$W$9,MATCH(ROUNDUP((N$1)/10,0)*10,[1]Hugst!$R$4:$W$4,0))))</f>
        <v>5418.2891130458347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55000000000000004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5375.1096341922748</v>
      </c>
      <c r="G73">
        <f ca="1">IF($C73-G$1&lt;År1,0,F72*(1-VLOOKUP($A73,[1]Hugst!$R$5:$W$9,MATCH(ROUNDUP((G$1)/10,0)*10,[1]Hugst!$R$4:$W$4,0))))</f>
        <v>5379.8117231109036</v>
      </c>
      <c r="H73">
        <f ca="1">IF($C73-H$1&lt;År1,0,G72*(1-VLOOKUP($A73,[1]Hugst!$R$5:$W$9,MATCH(ROUNDUP((H$1)/10,0)*10,[1]Hugst!$R$4:$W$4,0))))</f>
        <v>5384.5374406170058</v>
      </c>
      <c r="I73">
        <f ca="1">IF($C73-I$1&lt;År1,0,H72*(1-VLOOKUP($A73,[1]Hugst!$R$5:$W$9,MATCH(ROUNDUP((I$1)/10,0)*10,[1]Hugst!$R$4:$W$4,0))))</f>
        <v>5389.286905447264</v>
      </c>
      <c r="J73">
        <f ca="1">IF($C73-J$1&lt;År1,0,I72*(1-VLOOKUP($A73,[1]Hugst!$R$5:$W$9,MATCH(ROUNDUP((J$1)/10,0)*10,[1]Hugst!$R$4:$W$4,0))))</f>
        <v>5394.0602369349645</v>
      </c>
      <c r="K73">
        <f ca="1">IF($C73-K$1&lt;År1,0,J72*(1-VLOOKUP($A73,[1]Hugst!$R$5:$W$9,MATCH(ROUNDUP((K$1)/10,0)*10,[1]Hugst!$R$4:$W$4,0))))</f>
        <v>5398.8575550130645</v>
      </c>
      <c r="L73">
        <f ca="1">IF($C73-L$1&lt;År1,0,K72*(1-VLOOKUP($A73,[1]Hugst!$R$5:$W$9,MATCH(ROUNDUP((L$1)/10,0)*10,[1]Hugst!$R$4:$W$4,0))))</f>
        <v>5403.6789802171825</v>
      </c>
      <c r="M73">
        <f ca="1">IF($C73-M$1&lt;År1,0,L72*(1-VLOOKUP($A73,[1]Hugst!$R$5:$W$9,MATCH(ROUNDUP((M$1)/10,0)*10,[1]Hugst!$R$4:$W$4,0))))</f>
        <v>5408.5246336886621</v>
      </c>
      <c r="N73">
        <f ca="1">IF($C73-N$1&lt;År1,0,M72*(1-VLOOKUP($A73,[1]Hugst!$R$5:$W$9,MATCH(ROUNDUP((N$1)/10,0)*10,[1]Hugst!$R$4:$W$4,0))))</f>
        <v>5413.3946371775519</v>
      </c>
      <c r="O73">
        <f ca="1">IF($C73-O$1&lt;År1,0,N72*(1-VLOOKUP($A73,[1]Hugst!$R$5:$W$9,MATCH(ROUNDUP((O$1)/10,0)*10,[1]Hugst!$R$4:$W$4,0))))</f>
        <v>5418.2891130458347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55000000000000004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8.2651867826134549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5378.6962425009442</v>
      </c>
      <c r="G74">
        <f ca="1">IF($C74-G$1&lt;År1,0,F73*(1-VLOOKUP($A74,[1]Hugst!$R$5:$W$9,MATCH(ROUNDUP((G$1)/10,0)*10,[1]Hugst!$R$4:$W$4,0))))</f>
        <v>5375.1096341922748</v>
      </c>
      <c r="H74">
        <f ca="1">IF($C74-H$1&lt;År1,0,G73*(1-VLOOKUP($A74,[1]Hugst!$R$5:$W$9,MATCH(ROUNDUP((H$1)/10,0)*10,[1]Hugst!$R$4:$W$4,0))))</f>
        <v>5379.8117231109036</v>
      </c>
      <c r="I74">
        <f ca="1">IF($C74-I$1&lt;År1,0,H73*(1-VLOOKUP($A74,[1]Hugst!$R$5:$W$9,MATCH(ROUNDUP((I$1)/10,0)*10,[1]Hugst!$R$4:$W$4,0))))</f>
        <v>5384.5374406170058</v>
      </c>
      <c r="J74">
        <f ca="1">IF($C74-J$1&lt;År1,0,I73*(1-VLOOKUP($A74,[1]Hugst!$R$5:$W$9,MATCH(ROUNDUP((J$1)/10,0)*10,[1]Hugst!$R$4:$W$4,0))))</f>
        <v>5389.286905447264</v>
      </c>
      <c r="K74">
        <f ca="1">IF($C74-K$1&lt;År1,0,J73*(1-VLOOKUP($A74,[1]Hugst!$R$5:$W$9,MATCH(ROUNDUP((K$1)/10,0)*10,[1]Hugst!$R$4:$W$4,0))))</f>
        <v>5394.0602369349645</v>
      </c>
      <c r="L74">
        <f ca="1">IF($C74-L$1&lt;År1,0,K73*(1-VLOOKUP($A74,[1]Hugst!$R$5:$W$9,MATCH(ROUNDUP((L$1)/10,0)*10,[1]Hugst!$R$4:$W$4,0))))</f>
        <v>5398.8575550130645</v>
      </c>
      <c r="M74">
        <f ca="1">IF($C74-M$1&lt;År1,0,L73*(1-VLOOKUP($A74,[1]Hugst!$R$5:$W$9,MATCH(ROUNDUP((M$1)/10,0)*10,[1]Hugst!$R$4:$W$4,0))))</f>
        <v>5403.6789802171825</v>
      </c>
      <c r="N74">
        <f ca="1">IF($C74-N$1&lt;År1,0,M73*(1-VLOOKUP($A74,[1]Hugst!$R$5:$W$9,MATCH(ROUNDUP((N$1)/10,0)*10,[1]Hugst!$R$4:$W$4,0))))</f>
        <v>5408.5246336886621</v>
      </c>
      <c r="O74">
        <f ca="1">IF($C74-O$1&lt;År1,0,N73*(1-VLOOKUP($A74,[1]Hugst!$R$5:$W$9,MATCH(ROUNDUP((O$1)/10,0)*10,[1]Hugst!$R$4:$W$4,0))))</f>
        <v>5413.3946371775519</v>
      </c>
      <c r="P74">
        <f ca="1">IF($C74-P$1&lt;År1,0,O73*(1-VLOOKUP($A74,[1]Hugst!$R$5:$W$9,MATCH(ROUNDUP((P$1)/10,0)*10,[1]Hugst!$R$4:$W$4,0))))</f>
        <v>5410.0239262632222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55000000000000004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16.510299503555871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3384.5588969129326</v>
      </c>
      <c r="G75">
        <f ca="1">IF($C75-G$1&lt;År1,0,F74*(1-VLOOKUP($A75,[1]Hugst!$R$5:$W$9,MATCH(ROUNDUP((G$1)/10,0)*10,[1]Hugst!$R$4:$W$4,0))))</f>
        <v>5378.6962425009442</v>
      </c>
      <c r="H75">
        <f ca="1">IF($C75-H$1&lt;År1,0,G74*(1-VLOOKUP($A75,[1]Hugst!$R$5:$W$9,MATCH(ROUNDUP((H$1)/10,0)*10,[1]Hugst!$R$4:$W$4,0))))</f>
        <v>5375.1096341922748</v>
      </c>
      <c r="I75">
        <f ca="1">IF($C75-I$1&lt;År1,0,H74*(1-VLOOKUP($A75,[1]Hugst!$R$5:$W$9,MATCH(ROUNDUP((I$1)/10,0)*10,[1]Hugst!$R$4:$W$4,0))))</f>
        <v>5379.8117231109036</v>
      </c>
      <c r="J75">
        <f ca="1">IF($C75-J$1&lt;År1,0,I74*(1-VLOOKUP($A75,[1]Hugst!$R$5:$W$9,MATCH(ROUNDUP((J$1)/10,0)*10,[1]Hugst!$R$4:$W$4,0))))</f>
        <v>5384.5374406170058</v>
      </c>
      <c r="K75">
        <f ca="1">IF($C75-K$1&lt;År1,0,J74*(1-VLOOKUP($A75,[1]Hugst!$R$5:$W$9,MATCH(ROUNDUP((K$1)/10,0)*10,[1]Hugst!$R$4:$W$4,0))))</f>
        <v>5389.286905447264</v>
      </c>
      <c r="L75">
        <f ca="1">IF($C75-L$1&lt;År1,0,K74*(1-VLOOKUP($A75,[1]Hugst!$R$5:$W$9,MATCH(ROUNDUP((L$1)/10,0)*10,[1]Hugst!$R$4:$W$4,0))))</f>
        <v>5394.0602369349645</v>
      </c>
      <c r="M75">
        <f ca="1">IF($C75-M$1&lt;År1,0,L74*(1-VLOOKUP($A75,[1]Hugst!$R$5:$W$9,MATCH(ROUNDUP((M$1)/10,0)*10,[1]Hugst!$R$4:$W$4,0))))</f>
        <v>5398.8575550130645</v>
      </c>
      <c r="N75">
        <f ca="1">IF($C75-N$1&lt;År1,0,M74*(1-VLOOKUP($A75,[1]Hugst!$R$5:$W$9,MATCH(ROUNDUP((N$1)/10,0)*10,[1]Hugst!$R$4:$W$4,0))))</f>
        <v>5403.6789802171825</v>
      </c>
      <c r="O75">
        <f ca="1">IF($C75-O$1&lt;År1,0,N74*(1-VLOOKUP($A75,[1]Hugst!$R$5:$W$9,MATCH(ROUNDUP((O$1)/10,0)*10,[1]Hugst!$R$4:$W$4,0))))</f>
        <v>5408.5246336886621</v>
      </c>
      <c r="P75">
        <f ca="1">IF($C75-P$1&lt;År1,0,O74*(1-VLOOKUP($A75,[1]Hugst!$R$5:$W$9,MATCH(ROUNDUP((P$1)/10,0)*10,[1]Hugst!$R$4:$W$4,0))))</f>
        <v>5405.1369165445694</v>
      </c>
      <c r="Q75">
        <f ca="1">IF($C75-Q$1&lt;År1,0,P74*(1-VLOOKUP($A75,[1]Hugst!$R$5:$W$9,MATCH(ROUNDUP((Q$1)/10,0)*10,[1]Hugst!$R$4:$W$4,0))))</f>
        <v>5401.7713473926506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55000000000000004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24.735406115025398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3388.1520938707358</v>
      </c>
      <c r="G76">
        <f ca="1">IF($C76-G$1&lt;År1,0,F75*(1-VLOOKUP($A76,[1]Hugst!$R$5:$W$9,MATCH(ROUNDUP((G$1)/10,0)*10,[1]Hugst!$R$4:$W$4,0))))</f>
        <v>3384.5588969129326</v>
      </c>
      <c r="H76">
        <f ca="1">IF($C76-H$1&lt;År1,0,G75*(1-VLOOKUP($A76,[1]Hugst!$R$5:$W$9,MATCH(ROUNDUP((H$1)/10,0)*10,[1]Hugst!$R$4:$W$4,0))))</f>
        <v>5378.6962425009442</v>
      </c>
      <c r="I76">
        <f ca="1">IF($C76-I$1&lt;År1,0,H75*(1-VLOOKUP($A76,[1]Hugst!$R$5:$W$9,MATCH(ROUNDUP((I$1)/10,0)*10,[1]Hugst!$R$4:$W$4,0))))</f>
        <v>5375.1096341922748</v>
      </c>
      <c r="J76">
        <f ca="1">IF($C76-J$1&lt;År1,0,I75*(1-VLOOKUP($A76,[1]Hugst!$R$5:$W$9,MATCH(ROUNDUP((J$1)/10,0)*10,[1]Hugst!$R$4:$W$4,0))))</f>
        <v>5379.8117231109036</v>
      </c>
      <c r="K76">
        <f ca="1">IF($C76-K$1&lt;År1,0,J75*(1-VLOOKUP($A76,[1]Hugst!$R$5:$W$9,MATCH(ROUNDUP((K$1)/10,0)*10,[1]Hugst!$R$4:$W$4,0))))</f>
        <v>5384.5374406170058</v>
      </c>
      <c r="L76">
        <f ca="1">IF($C76-L$1&lt;År1,0,K75*(1-VLOOKUP($A76,[1]Hugst!$R$5:$W$9,MATCH(ROUNDUP((L$1)/10,0)*10,[1]Hugst!$R$4:$W$4,0))))</f>
        <v>5389.286905447264</v>
      </c>
      <c r="M76">
        <f ca="1">IF($C76-M$1&lt;År1,0,L75*(1-VLOOKUP($A76,[1]Hugst!$R$5:$W$9,MATCH(ROUNDUP((M$1)/10,0)*10,[1]Hugst!$R$4:$W$4,0))))</f>
        <v>5394.0602369349645</v>
      </c>
      <c r="N76">
        <f ca="1">IF($C76-N$1&lt;År1,0,M75*(1-VLOOKUP($A76,[1]Hugst!$R$5:$W$9,MATCH(ROUNDUP((N$1)/10,0)*10,[1]Hugst!$R$4:$W$4,0))))</f>
        <v>5398.8575550130645</v>
      </c>
      <c r="O76">
        <f ca="1">IF($C76-O$1&lt;År1,0,N75*(1-VLOOKUP($A76,[1]Hugst!$R$5:$W$9,MATCH(ROUNDUP((O$1)/10,0)*10,[1]Hugst!$R$4:$W$4,0))))</f>
        <v>5403.6789802171825</v>
      </c>
      <c r="P76">
        <f ca="1">IF($C76-P$1&lt;År1,0,O75*(1-VLOOKUP($A76,[1]Hugst!$R$5:$W$9,MATCH(ROUNDUP((P$1)/10,0)*10,[1]Hugst!$R$4:$W$4,0))))</f>
        <v>5400.2743418745604</v>
      </c>
      <c r="Q76">
        <f ca="1">IF($C76-Q$1&lt;År1,0,P75*(1-VLOOKUP($A76,[1]Hugst!$R$5:$W$9,MATCH(ROUNDUP((Q$1)/10,0)*10,[1]Hugst!$R$4:$W$4,0))))</f>
        <v>5396.891792434586</v>
      </c>
      <c r="R76">
        <f ca="1">IF($C76-R$1&lt;År1,0,Q75*(1-VLOOKUP($A76,[1]Hugst!$R$5:$W$9,MATCH(ROUNDUP((R$1)/10,0)*10,[1]Hugst!$R$4:$W$4,0))))</f>
        <v>5393.5313572017121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55000000000000004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32.94057427890948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3391.74851192915</v>
      </c>
      <c r="G77">
        <f ca="1">IF($C77-G$1&lt;År1,0,F76*(1-VLOOKUP($A77,[1]Hugst!$R$5:$W$9,MATCH(ROUNDUP((G$1)/10,0)*10,[1]Hugst!$R$4:$W$4,0))))</f>
        <v>3388.1520938707358</v>
      </c>
      <c r="H77">
        <f ca="1">IF($C77-H$1&lt;År1,0,G76*(1-VLOOKUP($A77,[1]Hugst!$R$5:$W$9,MATCH(ROUNDUP((H$1)/10,0)*10,[1]Hugst!$R$4:$W$4,0))))</f>
        <v>3384.5588969129326</v>
      </c>
      <c r="I77">
        <f ca="1">IF($C77-I$1&lt;År1,0,H76*(1-VLOOKUP($A77,[1]Hugst!$R$5:$W$9,MATCH(ROUNDUP((I$1)/10,0)*10,[1]Hugst!$R$4:$W$4,0))))</f>
        <v>5378.6962425009442</v>
      </c>
      <c r="J77">
        <f ca="1">IF($C77-J$1&lt;År1,0,I76*(1-VLOOKUP($A77,[1]Hugst!$R$5:$W$9,MATCH(ROUNDUP((J$1)/10,0)*10,[1]Hugst!$R$4:$W$4,0))))</f>
        <v>5375.1096341922748</v>
      </c>
      <c r="K77">
        <f ca="1">IF($C77-K$1&lt;År1,0,J76*(1-VLOOKUP($A77,[1]Hugst!$R$5:$W$9,MATCH(ROUNDUP((K$1)/10,0)*10,[1]Hugst!$R$4:$W$4,0))))</f>
        <v>5379.8117231109036</v>
      </c>
      <c r="L77">
        <f ca="1">IF($C77-L$1&lt;År1,0,K76*(1-VLOOKUP($A77,[1]Hugst!$R$5:$W$9,MATCH(ROUNDUP((L$1)/10,0)*10,[1]Hugst!$R$4:$W$4,0))))</f>
        <v>5384.5374406170058</v>
      </c>
      <c r="M77">
        <f ca="1">IF($C77-M$1&lt;År1,0,L76*(1-VLOOKUP($A77,[1]Hugst!$R$5:$W$9,MATCH(ROUNDUP((M$1)/10,0)*10,[1]Hugst!$R$4:$W$4,0))))</f>
        <v>5389.286905447264</v>
      </c>
      <c r="N77">
        <f ca="1">IF($C77-N$1&lt;År1,0,M76*(1-VLOOKUP($A77,[1]Hugst!$R$5:$W$9,MATCH(ROUNDUP((N$1)/10,0)*10,[1]Hugst!$R$4:$W$4,0))))</f>
        <v>5394.0602369349645</v>
      </c>
      <c r="O77">
        <f ca="1">IF($C77-O$1&lt;År1,0,N76*(1-VLOOKUP($A77,[1]Hugst!$R$5:$W$9,MATCH(ROUNDUP((O$1)/10,0)*10,[1]Hugst!$R$4:$W$4,0))))</f>
        <v>5398.8575550130645</v>
      </c>
      <c r="P77">
        <f ca="1">IF($C77-P$1&lt;År1,0,O76*(1-VLOOKUP($A77,[1]Hugst!$R$5:$W$9,MATCH(ROUNDUP((P$1)/10,0)*10,[1]Hugst!$R$4:$W$4,0))))</f>
        <v>5395.4360800778677</v>
      </c>
      <c r="Q77">
        <f ca="1">IF($C77-Q$1&lt;År1,0,P76*(1-VLOOKUP($A77,[1]Hugst!$R$5:$W$9,MATCH(ROUNDUP((Q$1)/10,0)*10,[1]Hugst!$R$4:$W$4,0))))</f>
        <v>5392.036635251362</v>
      </c>
      <c r="R77">
        <f ca="1">IF($C77-R$1&lt;År1,0,Q76*(1-VLOOKUP($A77,[1]Hugst!$R$5:$W$9,MATCH(ROUNDUP((R$1)/10,0)*10,[1]Hugst!$R$4:$W$4,0))))</f>
        <v>5388.659245632567</v>
      </c>
      <c r="S77">
        <f ca="1">IF($C77-S$1&lt;År1,0,R76*(1-VLOOKUP($A77,[1]Hugst!$R$5:$W$9,MATCH(ROUNDUP((S$1)/10,0)*10,[1]Hugst!$R$4:$W$4,0))))</f>
        <v>5385.3039364873366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55000000000000004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41.125871368160006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3395.3481026634886</v>
      </c>
      <c r="G78">
        <f ca="1">IF($C78-G$1&lt;År1,0,F77*(1-VLOOKUP($A78,[1]Hugst!$R$5:$W$9,MATCH(ROUNDUP((G$1)/10,0)*10,[1]Hugst!$R$4:$W$4,0))))</f>
        <v>3391.74851192915</v>
      </c>
      <c r="H78">
        <f ca="1">IF($C78-H$1&lt;År1,0,G77*(1-VLOOKUP($A78,[1]Hugst!$R$5:$W$9,MATCH(ROUNDUP((H$1)/10,0)*10,[1]Hugst!$R$4:$W$4,0))))</f>
        <v>3388.1520938707358</v>
      </c>
      <c r="I78">
        <f ca="1">IF($C78-I$1&lt;År1,0,H77*(1-VLOOKUP($A78,[1]Hugst!$R$5:$W$9,MATCH(ROUNDUP((I$1)/10,0)*10,[1]Hugst!$R$4:$W$4,0))))</f>
        <v>3384.5588969129326</v>
      </c>
      <c r="J78">
        <f ca="1">IF($C78-J$1&lt;År1,0,I77*(1-VLOOKUP($A78,[1]Hugst!$R$5:$W$9,MATCH(ROUNDUP((J$1)/10,0)*10,[1]Hugst!$R$4:$W$4,0))))</f>
        <v>5378.6962425009442</v>
      </c>
      <c r="K78">
        <f ca="1">IF($C78-K$1&lt;År1,0,J77*(1-VLOOKUP($A78,[1]Hugst!$R$5:$W$9,MATCH(ROUNDUP((K$1)/10,0)*10,[1]Hugst!$R$4:$W$4,0))))</f>
        <v>5375.1096341922748</v>
      </c>
      <c r="L78">
        <f ca="1">IF($C78-L$1&lt;År1,0,K77*(1-VLOOKUP($A78,[1]Hugst!$R$5:$W$9,MATCH(ROUNDUP((L$1)/10,0)*10,[1]Hugst!$R$4:$W$4,0))))</f>
        <v>5379.8117231109036</v>
      </c>
      <c r="M78">
        <f ca="1">IF($C78-M$1&lt;År1,0,L77*(1-VLOOKUP($A78,[1]Hugst!$R$5:$W$9,MATCH(ROUNDUP((M$1)/10,0)*10,[1]Hugst!$R$4:$W$4,0))))</f>
        <v>5384.5374406170058</v>
      </c>
      <c r="N78">
        <f ca="1">IF($C78-N$1&lt;År1,0,M77*(1-VLOOKUP($A78,[1]Hugst!$R$5:$W$9,MATCH(ROUNDUP((N$1)/10,0)*10,[1]Hugst!$R$4:$W$4,0))))</f>
        <v>5389.286905447264</v>
      </c>
      <c r="O78">
        <f ca="1">IF($C78-O$1&lt;År1,0,N77*(1-VLOOKUP($A78,[1]Hugst!$R$5:$W$9,MATCH(ROUNDUP((O$1)/10,0)*10,[1]Hugst!$R$4:$W$4,0))))</f>
        <v>5394.0602369349645</v>
      </c>
      <c r="P78">
        <f ca="1">IF($C78-P$1&lt;År1,0,O77*(1-VLOOKUP($A78,[1]Hugst!$R$5:$W$9,MATCH(ROUNDUP((P$1)/10,0)*10,[1]Hugst!$R$4:$W$4,0))))</f>
        <v>5390.6220095901626</v>
      </c>
      <c r="Q78">
        <f ca="1">IF($C78-Q$1&lt;År1,0,P77*(1-VLOOKUP($A78,[1]Hugst!$R$5:$W$9,MATCH(ROUNDUP((Q$1)/10,0)*10,[1]Hugst!$R$4:$W$4,0))))</f>
        <v>5387.2057538540203</v>
      </c>
      <c r="R78">
        <f ca="1">IF($C78-R$1&lt;År1,0,Q77*(1-VLOOKUP($A78,[1]Hugst!$R$5:$W$9,MATCH(ROUNDUP((R$1)/10,0)*10,[1]Hugst!$R$4:$W$4,0))))</f>
        <v>5383.8114946213173</v>
      </c>
      <c r="S78">
        <f ca="1">IF($C78-S$1&lt;År1,0,R77*(1-VLOOKUP($A78,[1]Hugst!$R$5:$W$9,MATCH(ROUNDUP((S$1)/10,0)*10,[1]Hugst!$R$4:$W$4,0))))</f>
        <v>5380.4392569527881</v>
      </c>
      <c r="T78">
        <f ca="1">IF($C78-T$1&lt;År1,0,S77*(1-VLOOKUP($A78,[1]Hugst!$R$5:$W$9,MATCH(ROUNDUP((T$1)/10,0)*10,[1]Hugst!$R$4:$W$4,0))))</f>
        <v>5377.0890660757459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55000000000000004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49.291364468183019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3398.950817940387</v>
      </c>
      <c r="G79">
        <f ca="1">IF($C79-G$1&lt;År1,0,F78*(1-VLOOKUP($A79,[1]Hugst!$R$5:$W$9,MATCH(ROUNDUP((G$1)/10,0)*10,[1]Hugst!$R$4:$W$4,0))))</f>
        <v>3395.3481026634886</v>
      </c>
      <c r="H79">
        <f ca="1">IF($C79-H$1&lt;År1,0,G78*(1-VLOOKUP($A79,[1]Hugst!$R$5:$W$9,MATCH(ROUNDUP((H$1)/10,0)*10,[1]Hugst!$R$4:$W$4,0))))</f>
        <v>3391.74851192915</v>
      </c>
      <c r="I79">
        <f ca="1">IF($C79-I$1&lt;År1,0,H78*(1-VLOOKUP($A79,[1]Hugst!$R$5:$W$9,MATCH(ROUNDUP((I$1)/10,0)*10,[1]Hugst!$R$4:$W$4,0))))</f>
        <v>3388.1520938707358</v>
      </c>
      <c r="J79">
        <f ca="1">IF($C79-J$1&lt;År1,0,I78*(1-VLOOKUP($A79,[1]Hugst!$R$5:$W$9,MATCH(ROUNDUP((J$1)/10,0)*10,[1]Hugst!$R$4:$W$4,0))))</f>
        <v>3384.5588969129326</v>
      </c>
      <c r="K79">
        <f ca="1">IF($C79-K$1&lt;År1,0,J78*(1-VLOOKUP($A79,[1]Hugst!$R$5:$W$9,MATCH(ROUNDUP((K$1)/10,0)*10,[1]Hugst!$R$4:$W$4,0))))</f>
        <v>5378.6962425009442</v>
      </c>
      <c r="L79">
        <f ca="1">IF($C79-L$1&lt;År1,0,K78*(1-VLOOKUP($A79,[1]Hugst!$R$5:$W$9,MATCH(ROUNDUP((L$1)/10,0)*10,[1]Hugst!$R$4:$W$4,0))))</f>
        <v>5375.1096341922748</v>
      </c>
      <c r="M79">
        <f ca="1">IF($C79-M$1&lt;År1,0,L78*(1-VLOOKUP($A79,[1]Hugst!$R$5:$W$9,MATCH(ROUNDUP((M$1)/10,0)*10,[1]Hugst!$R$4:$W$4,0))))</f>
        <v>5379.8117231109036</v>
      </c>
      <c r="N79">
        <f ca="1">IF($C79-N$1&lt;År1,0,M78*(1-VLOOKUP($A79,[1]Hugst!$R$5:$W$9,MATCH(ROUNDUP((N$1)/10,0)*10,[1]Hugst!$R$4:$W$4,0))))</f>
        <v>5384.5374406170058</v>
      </c>
      <c r="O79">
        <f ca="1">IF($C79-O$1&lt;År1,0,N78*(1-VLOOKUP($A79,[1]Hugst!$R$5:$W$9,MATCH(ROUNDUP((O$1)/10,0)*10,[1]Hugst!$R$4:$W$4,0))))</f>
        <v>5389.286905447264</v>
      </c>
      <c r="P79">
        <f ca="1">IF($C79-P$1&lt;År1,0,O78*(1-VLOOKUP($A79,[1]Hugst!$R$5:$W$9,MATCH(ROUNDUP((P$1)/10,0)*10,[1]Hugst!$R$4:$W$4,0))))</f>
        <v>5385.8320094548944</v>
      </c>
      <c r="Q79">
        <f ca="1">IF($C79-Q$1&lt;År1,0,P78*(1-VLOOKUP($A79,[1]Hugst!$R$5:$W$9,MATCH(ROUNDUP((Q$1)/10,0)*10,[1]Hugst!$R$4:$W$4,0))))</f>
        <v>5382.399026863669</v>
      </c>
      <c r="R79">
        <f ca="1">IF($C79-R$1&lt;År1,0,Q78*(1-VLOOKUP($A79,[1]Hugst!$R$5:$W$9,MATCH(ROUNDUP((R$1)/10,0)*10,[1]Hugst!$R$4:$W$4,0))))</f>
        <v>5378.9879823650899</v>
      </c>
      <c r="S79">
        <f ca="1">IF($C79-S$1&lt;År1,0,R78*(1-VLOOKUP($A79,[1]Hugst!$R$5:$W$9,MATCH(ROUNDUP((S$1)/10,0)*10,[1]Hugst!$R$4:$W$4,0))))</f>
        <v>5375.5989008159622</v>
      </c>
      <c r="T79">
        <f ca="1">IF($C79-T$1&lt;År1,0,S78*(1-VLOOKUP($A79,[1]Hugst!$R$5:$W$9,MATCH(ROUNDUP((T$1)/10,0)*10,[1]Hugst!$R$4:$W$4,0))))</f>
        <v>5372.2318072387925</v>
      </c>
      <c r="U79">
        <f ca="1">IF($C79-U$1&lt;År1,0,T78*(1-VLOOKUP($A79,[1]Hugst!$R$5:$W$9,MATCH(ROUNDUP((U$1)/10,0)*10,[1]Hugst!$R$4:$W$4,0))))</f>
        <v>5368.8867268224094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55000000000000004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57.437120378148393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3402.5566099163184</v>
      </c>
      <c r="G80">
        <f ca="1">IF($C80-G$1&lt;År1,0,F79*(1-VLOOKUP($A80,[1]Hugst!$R$5:$W$9,MATCH(ROUNDUP((G$1)/10,0)*10,[1]Hugst!$R$4:$W$4,0))))</f>
        <v>3398.950817940387</v>
      </c>
      <c r="H80">
        <f ca="1">IF($C80-H$1&lt;År1,0,G79*(1-VLOOKUP($A80,[1]Hugst!$R$5:$W$9,MATCH(ROUNDUP((H$1)/10,0)*10,[1]Hugst!$R$4:$W$4,0))))</f>
        <v>3395.3481026634886</v>
      </c>
      <c r="I80">
        <f ca="1">IF($C80-I$1&lt;År1,0,H79*(1-VLOOKUP($A80,[1]Hugst!$R$5:$W$9,MATCH(ROUNDUP((I$1)/10,0)*10,[1]Hugst!$R$4:$W$4,0))))</f>
        <v>3391.74851192915</v>
      </c>
      <c r="J80">
        <f ca="1">IF($C80-J$1&lt;År1,0,I79*(1-VLOOKUP($A80,[1]Hugst!$R$5:$W$9,MATCH(ROUNDUP((J$1)/10,0)*10,[1]Hugst!$R$4:$W$4,0))))</f>
        <v>3388.1520938707358</v>
      </c>
      <c r="K80">
        <f ca="1">IF($C80-K$1&lt;År1,0,J79*(1-VLOOKUP($A80,[1]Hugst!$R$5:$W$9,MATCH(ROUNDUP((K$1)/10,0)*10,[1]Hugst!$R$4:$W$4,0))))</f>
        <v>3384.5588969129326</v>
      </c>
      <c r="L80">
        <f ca="1">IF($C80-L$1&lt;År1,0,K79*(1-VLOOKUP($A80,[1]Hugst!$R$5:$W$9,MATCH(ROUNDUP((L$1)/10,0)*10,[1]Hugst!$R$4:$W$4,0))))</f>
        <v>5378.6962425009442</v>
      </c>
      <c r="M80">
        <f ca="1">IF($C80-M$1&lt;År1,0,L79*(1-VLOOKUP($A80,[1]Hugst!$R$5:$W$9,MATCH(ROUNDUP((M$1)/10,0)*10,[1]Hugst!$R$4:$W$4,0))))</f>
        <v>5375.1096341922748</v>
      </c>
      <c r="N80">
        <f ca="1">IF($C80-N$1&lt;År1,0,M79*(1-VLOOKUP($A80,[1]Hugst!$R$5:$W$9,MATCH(ROUNDUP((N$1)/10,0)*10,[1]Hugst!$R$4:$W$4,0))))</f>
        <v>5379.8117231109036</v>
      </c>
      <c r="O80">
        <f ca="1">IF($C80-O$1&lt;År1,0,N79*(1-VLOOKUP($A80,[1]Hugst!$R$5:$W$9,MATCH(ROUNDUP((O$1)/10,0)*10,[1]Hugst!$R$4:$W$4,0))))</f>
        <v>5384.5374406170058</v>
      </c>
      <c r="P80">
        <f ca="1">IF($C80-P$1&lt;År1,0,O79*(1-VLOOKUP($A80,[1]Hugst!$R$5:$W$9,MATCH(ROUNDUP((P$1)/10,0)*10,[1]Hugst!$R$4:$W$4,0))))</f>
        <v>5381.06595932031</v>
      </c>
      <c r="Q80">
        <f ca="1">IF($C80-Q$1&lt;År1,0,P79*(1-VLOOKUP($A80,[1]Hugst!$R$5:$W$9,MATCH(ROUNDUP((Q$1)/10,0)*10,[1]Hugst!$R$4:$W$4,0))))</f>
        <v>5377.6163335082683</v>
      </c>
      <c r="R80">
        <f ca="1">IF($C80-R$1&lt;År1,0,Q79*(1-VLOOKUP($A80,[1]Hugst!$R$5:$W$9,MATCH(ROUNDUP((R$1)/10,0)*10,[1]Hugst!$R$4:$W$4,0))))</f>
        <v>5374.1885876701481</v>
      </c>
      <c r="S80">
        <f ca="1">IF($C80-S$1&lt;År1,0,R79*(1-VLOOKUP($A80,[1]Hugst!$R$5:$W$9,MATCH(ROUNDUP((S$1)/10,0)*10,[1]Hugst!$R$4:$W$4,0))))</f>
        <v>5370.7827464597867</v>
      </c>
      <c r="T80">
        <f ca="1">IF($C80-T$1&lt;År1,0,S79*(1-VLOOKUP($A80,[1]Hugst!$R$5:$W$9,MATCH(ROUNDUP((T$1)/10,0)*10,[1]Hugst!$R$4:$W$4,0))))</f>
        <v>5367.3988346960732</v>
      </c>
      <c r="U80">
        <f ca="1">IF($C80-U$1&lt;År1,0,T79*(1-VLOOKUP($A80,[1]Hugst!$R$5:$W$9,MATCH(ROUNDUP((U$1)/10,0)*10,[1]Hugst!$R$4:$W$4,0))))</f>
        <v>5364.0368773633436</v>
      </c>
      <c r="V80">
        <f ca="1">IF($C80-V$1&lt;År1,0,U79*(1-VLOOKUP($A80,[1]Hugst!$R$5:$W$9,MATCH(ROUNDUP((V$1)/10,0)*10,[1]Hugst!$R$4:$W$4,0))))</f>
        <v>5360.6968996120022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55000000000000004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65.563205612415913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3406.1654310362223</v>
      </c>
      <c r="G81">
        <f ca="1">IF($C81-G$1&lt;År1,0,F80*(1-VLOOKUP($A81,[1]Hugst!$R$5:$W$9,MATCH(ROUNDUP((G$1)/10,0)*10,[1]Hugst!$R$4:$W$4,0))))</f>
        <v>3402.5566099163184</v>
      </c>
      <c r="H81">
        <f ca="1">IF($C81-H$1&lt;År1,0,G80*(1-VLOOKUP($A81,[1]Hugst!$R$5:$W$9,MATCH(ROUNDUP((H$1)/10,0)*10,[1]Hugst!$R$4:$W$4,0))))</f>
        <v>3398.950817940387</v>
      </c>
      <c r="I81">
        <f ca="1">IF($C81-I$1&lt;År1,0,H80*(1-VLOOKUP($A81,[1]Hugst!$R$5:$W$9,MATCH(ROUNDUP((I$1)/10,0)*10,[1]Hugst!$R$4:$W$4,0))))</f>
        <v>3395.3481026634886</v>
      </c>
      <c r="J81">
        <f ca="1">IF($C81-J$1&lt;År1,0,I80*(1-VLOOKUP($A81,[1]Hugst!$R$5:$W$9,MATCH(ROUNDUP((J$1)/10,0)*10,[1]Hugst!$R$4:$W$4,0))))</f>
        <v>3391.74851192915</v>
      </c>
      <c r="K81">
        <f ca="1">IF($C81-K$1&lt;År1,0,J80*(1-VLOOKUP($A81,[1]Hugst!$R$5:$W$9,MATCH(ROUNDUP((K$1)/10,0)*10,[1]Hugst!$R$4:$W$4,0))))</f>
        <v>3388.1520938707358</v>
      </c>
      <c r="L81">
        <f ca="1">IF($C81-L$1&lt;År1,0,K80*(1-VLOOKUP($A81,[1]Hugst!$R$5:$W$9,MATCH(ROUNDUP((L$1)/10,0)*10,[1]Hugst!$R$4:$W$4,0))))</f>
        <v>3384.5588969129326</v>
      </c>
      <c r="M81">
        <f ca="1">IF($C81-M$1&lt;År1,0,L80*(1-VLOOKUP($A81,[1]Hugst!$R$5:$W$9,MATCH(ROUNDUP((M$1)/10,0)*10,[1]Hugst!$R$4:$W$4,0))))</f>
        <v>5378.6962425009442</v>
      </c>
      <c r="N81">
        <f ca="1">IF($C81-N$1&lt;År1,0,M80*(1-VLOOKUP($A81,[1]Hugst!$R$5:$W$9,MATCH(ROUNDUP((N$1)/10,0)*10,[1]Hugst!$R$4:$W$4,0))))</f>
        <v>5375.1096341922748</v>
      </c>
      <c r="O81">
        <f ca="1">IF($C81-O$1&lt;År1,0,N80*(1-VLOOKUP($A81,[1]Hugst!$R$5:$W$9,MATCH(ROUNDUP((O$1)/10,0)*10,[1]Hugst!$R$4:$W$4,0))))</f>
        <v>5379.8117231109036</v>
      </c>
      <c r="P81">
        <f ca="1">IF($C81-P$1&lt;År1,0,O80*(1-VLOOKUP($A81,[1]Hugst!$R$5:$W$9,MATCH(ROUNDUP((P$1)/10,0)*10,[1]Hugst!$R$4:$W$4,0))))</f>
        <v>5376.3237394364032</v>
      </c>
      <c r="Q81">
        <f ca="1">IF($C81-Q$1&lt;År1,0,P80*(1-VLOOKUP($A81,[1]Hugst!$R$5:$W$9,MATCH(ROUNDUP((Q$1)/10,0)*10,[1]Hugst!$R$4:$W$4,0))))</f>
        <v>5372.8575536196513</v>
      </c>
      <c r="R81">
        <f ca="1">IF($C81-R$1&lt;År1,0,Q80*(1-VLOOKUP($A81,[1]Hugst!$R$5:$W$9,MATCH(ROUNDUP((R$1)/10,0)*10,[1]Hugst!$R$4:$W$4,0))))</f>
        <v>5369.4131899486792</v>
      </c>
      <c r="S81">
        <f ca="1">IF($C81-S$1&lt;År1,0,R80*(1-VLOOKUP($A81,[1]Hugst!$R$5:$W$9,MATCH(ROUNDUP((S$1)/10,0)*10,[1]Hugst!$R$4:$W$4,0))))</f>
        <v>5365.9906728753967</v>
      </c>
      <c r="T81">
        <f ca="1">IF($C81-T$1&lt;År1,0,S80*(1-VLOOKUP($A81,[1]Hugst!$R$5:$W$9,MATCH(ROUNDUP((T$1)/10,0)*10,[1]Hugst!$R$4:$W$4,0))))</f>
        <v>5362.5900270160346</v>
      </c>
      <c r="U81">
        <f ca="1">IF($C81-U$1&lt;År1,0,T80*(1-VLOOKUP($A81,[1]Hugst!$R$5:$W$9,MATCH(ROUNDUP((U$1)/10,0)*10,[1]Hugst!$R$4:$W$4,0))))</f>
        <v>5359.2112771516213</v>
      </c>
      <c r="V81">
        <f ca="1">IF($C81-V$1&lt;År1,0,U80*(1-VLOOKUP($A81,[1]Hugst!$R$5:$W$9,MATCH(ROUNDUP((V$1)/10,0)*10,[1]Hugst!$R$4:$W$4,0))))</f>
        <v>5355.8544482283824</v>
      </c>
      <c r="W81">
        <f ca="1">IF($C81-W$1&lt;År1,0,V80*(1-VLOOKUP($A81,[1]Hugst!$R$5:$W$9,MATCH(ROUNDUP((W$1)/10,0)*10,[1]Hugst!$R$4:$W$4,0))))</f>
        <v>5352.5195653583569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55000000000000004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73.669686401815852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3409.7772340318656</v>
      </c>
      <c r="G82">
        <f ca="1">IF($C82-G$1&lt;År1,0,F81*(1-VLOOKUP($A82,[1]Hugst!$R$5:$W$9,MATCH(ROUNDUP((G$1)/10,0)*10,[1]Hugst!$R$4:$W$4,0))))</f>
        <v>3406.1654310362223</v>
      </c>
      <c r="H82">
        <f ca="1">IF($C82-H$1&lt;År1,0,G81*(1-VLOOKUP($A82,[1]Hugst!$R$5:$W$9,MATCH(ROUNDUP((H$1)/10,0)*10,[1]Hugst!$R$4:$W$4,0))))</f>
        <v>3402.5566099163184</v>
      </c>
      <c r="I82">
        <f ca="1">IF($C82-I$1&lt;År1,0,H81*(1-VLOOKUP($A82,[1]Hugst!$R$5:$W$9,MATCH(ROUNDUP((I$1)/10,0)*10,[1]Hugst!$R$4:$W$4,0))))</f>
        <v>3398.950817940387</v>
      </c>
      <c r="J82">
        <f ca="1">IF($C82-J$1&lt;År1,0,I81*(1-VLOOKUP($A82,[1]Hugst!$R$5:$W$9,MATCH(ROUNDUP((J$1)/10,0)*10,[1]Hugst!$R$4:$W$4,0))))</f>
        <v>3395.3481026634886</v>
      </c>
      <c r="K82">
        <f ca="1">IF($C82-K$1&lt;År1,0,J81*(1-VLOOKUP($A82,[1]Hugst!$R$5:$W$9,MATCH(ROUNDUP((K$1)/10,0)*10,[1]Hugst!$R$4:$W$4,0))))</f>
        <v>3391.74851192915</v>
      </c>
      <c r="L82">
        <f ca="1">IF($C82-L$1&lt;År1,0,K81*(1-VLOOKUP($A82,[1]Hugst!$R$5:$W$9,MATCH(ROUNDUP((L$1)/10,0)*10,[1]Hugst!$R$4:$W$4,0))))</f>
        <v>3388.1520938707358</v>
      </c>
      <c r="M82">
        <f ca="1">IF($C82-M$1&lt;År1,0,L81*(1-VLOOKUP($A82,[1]Hugst!$R$5:$W$9,MATCH(ROUNDUP((M$1)/10,0)*10,[1]Hugst!$R$4:$W$4,0))))</f>
        <v>3384.5588969129326</v>
      </c>
      <c r="N82">
        <f ca="1">IF($C82-N$1&lt;År1,0,M81*(1-VLOOKUP($A82,[1]Hugst!$R$5:$W$9,MATCH(ROUNDUP((N$1)/10,0)*10,[1]Hugst!$R$4:$W$4,0))))</f>
        <v>5378.6962425009442</v>
      </c>
      <c r="O82">
        <f ca="1">IF($C82-O$1&lt;År1,0,N81*(1-VLOOKUP($A82,[1]Hugst!$R$5:$W$9,MATCH(ROUNDUP((O$1)/10,0)*10,[1]Hugst!$R$4:$W$4,0))))</f>
        <v>5375.1096341922748</v>
      </c>
      <c r="P82">
        <f ca="1">IF($C82-P$1&lt;År1,0,O81*(1-VLOOKUP($A82,[1]Hugst!$R$5:$W$9,MATCH(ROUNDUP((P$1)/10,0)*10,[1]Hugst!$R$4:$W$4,0))))</f>
        <v>5371.6052306519205</v>
      </c>
      <c r="Q82">
        <f ca="1">IF($C82-Q$1&lt;År1,0,P81*(1-VLOOKUP($A82,[1]Hugst!$R$5:$W$9,MATCH(ROUNDUP((Q$1)/10,0)*10,[1]Hugst!$R$4:$W$4,0))))</f>
        <v>5368.122567630483</v>
      </c>
      <c r="R82">
        <f ca="1">IF($C82-R$1&lt;År1,0,Q81*(1-VLOOKUP($A82,[1]Hugst!$R$5:$W$9,MATCH(ROUNDUP((R$1)/10,0)*10,[1]Hugst!$R$4:$W$4,0))))</f>
        <v>5364.661669215825</v>
      </c>
      <c r="S82">
        <f ca="1">IF($C82-S$1&lt;År1,0,R81*(1-VLOOKUP($A82,[1]Hugst!$R$5:$W$9,MATCH(ROUNDUP((S$1)/10,0)*10,[1]Hugst!$R$4:$W$4,0))))</f>
        <v>5361.2225596589269</v>
      </c>
      <c r="T82">
        <f ca="1">IF($C82-T$1&lt;År1,0,S81*(1-VLOOKUP($A82,[1]Hugst!$R$5:$W$9,MATCH(ROUNDUP((T$1)/10,0)*10,[1]Hugst!$R$4:$W$4,0))))</f>
        <v>5357.8052633744001</v>
      </c>
      <c r="U82">
        <f ca="1">IF($C82-U$1&lt;År1,0,T81*(1-VLOOKUP($A82,[1]Hugst!$R$5:$W$9,MATCH(ROUNDUP((U$1)/10,0)*10,[1]Hugst!$R$4:$W$4,0))))</f>
        <v>5354.4098049409249</v>
      </c>
      <c r="V82">
        <f ca="1">IF($C82-V$1&lt;År1,0,U81*(1-VLOOKUP($A82,[1]Hugst!$R$5:$W$9,MATCH(ROUNDUP((V$1)/10,0)*10,[1]Hugst!$R$4:$W$4,0))))</f>
        <v>5351.0362091017287</v>
      </c>
      <c r="W82">
        <f ca="1">IF($C82-W$1&lt;År1,0,V81*(1-VLOOKUP($A82,[1]Hugst!$R$5:$W$9,MATCH(ROUNDUP((W$1)/10,0)*10,[1]Hugst!$R$4:$W$4,0))))</f>
        <v>5347.6845007649827</v>
      </c>
      <c r="X82">
        <f ca="1">IF($C82-X$1&lt;År1,0,W81*(1-VLOOKUP($A82,[1]Hugst!$R$5:$W$9,MATCH(ROUNDUP((X$1)/10,0)*10,[1]Hugst!$R$4:$W$4,0))))</f>
        <v>5344.3547050044199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55000000000000004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81.756628695075051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3413.3919719202563</v>
      </c>
      <c r="G83">
        <f ca="1">IF($C83-G$1&lt;År1,0,F82*(1-VLOOKUP($A83,[1]Hugst!$R$5:$W$9,MATCH(ROUNDUP((G$1)/10,0)*10,[1]Hugst!$R$4:$W$4,0))))</f>
        <v>3409.7772340318656</v>
      </c>
      <c r="H83">
        <f ca="1">IF($C83-H$1&lt;År1,0,G82*(1-VLOOKUP($A83,[1]Hugst!$R$5:$W$9,MATCH(ROUNDUP((H$1)/10,0)*10,[1]Hugst!$R$4:$W$4,0))))</f>
        <v>3406.1654310362223</v>
      </c>
      <c r="I83">
        <f ca="1">IF($C83-I$1&lt;År1,0,H82*(1-VLOOKUP($A83,[1]Hugst!$R$5:$W$9,MATCH(ROUNDUP((I$1)/10,0)*10,[1]Hugst!$R$4:$W$4,0))))</f>
        <v>3402.5566099163184</v>
      </c>
      <c r="J83">
        <f ca="1">IF($C83-J$1&lt;År1,0,I82*(1-VLOOKUP($A83,[1]Hugst!$R$5:$W$9,MATCH(ROUNDUP((J$1)/10,0)*10,[1]Hugst!$R$4:$W$4,0))))</f>
        <v>3398.950817940387</v>
      </c>
      <c r="K83">
        <f ca="1">IF($C83-K$1&lt;År1,0,J82*(1-VLOOKUP($A83,[1]Hugst!$R$5:$W$9,MATCH(ROUNDUP((K$1)/10,0)*10,[1]Hugst!$R$4:$W$4,0))))</f>
        <v>3395.3481026634886</v>
      </c>
      <c r="L83">
        <f ca="1">IF($C83-L$1&lt;År1,0,K82*(1-VLOOKUP($A83,[1]Hugst!$R$5:$W$9,MATCH(ROUNDUP((L$1)/10,0)*10,[1]Hugst!$R$4:$W$4,0))))</f>
        <v>3391.74851192915</v>
      </c>
      <c r="M83">
        <f ca="1">IF($C83-M$1&lt;År1,0,L82*(1-VLOOKUP($A83,[1]Hugst!$R$5:$W$9,MATCH(ROUNDUP((M$1)/10,0)*10,[1]Hugst!$R$4:$W$4,0))))</f>
        <v>3388.1520938707358</v>
      </c>
      <c r="N83">
        <f ca="1">IF($C83-N$1&lt;År1,0,M82*(1-VLOOKUP($A83,[1]Hugst!$R$5:$W$9,MATCH(ROUNDUP((N$1)/10,0)*10,[1]Hugst!$R$4:$W$4,0))))</f>
        <v>3384.5588969129326</v>
      </c>
      <c r="O83">
        <f ca="1">IF($C83-O$1&lt;År1,0,N82*(1-VLOOKUP($A83,[1]Hugst!$R$5:$W$9,MATCH(ROUNDUP((O$1)/10,0)*10,[1]Hugst!$R$4:$W$4,0))))</f>
        <v>5378.6962425009442</v>
      </c>
      <c r="P83">
        <f ca="1">IF($C83-P$1&lt;År1,0,O82*(1-VLOOKUP($A83,[1]Hugst!$R$5:$W$9,MATCH(ROUNDUP((P$1)/10,0)*10,[1]Hugst!$R$4:$W$4,0))))</f>
        <v>5366.9103144113033</v>
      </c>
      <c r="Q83">
        <f ca="1">IF($C83-Q$1&lt;År1,0,P82*(1-VLOOKUP($A83,[1]Hugst!$R$5:$W$9,MATCH(ROUNDUP((Q$1)/10,0)*10,[1]Hugst!$R$4:$W$4,0))))</f>
        <v>5363.4112565712649</v>
      </c>
      <c r="R83">
        <f ca="1">IF($C83-R$1&lt;År1,0,Q82*(1-VLOOKUP($A83,[1]Hugst!$R$5:$W$9,MATCH(ROUNDUP((R$1)/10,0)*10,[1]Hugst!$R$4:$W$4,0))))</f>
        <v>5359.9339060866396</v>
      </c>
      <c r="S83">
        <f ca="1">IF($C83-S$1&lt;År1,0,R82*(1-VLOOKUP($A83,[1]Hugst!$R$5:$W$9,MATCH(ROUNDUP((S$1)/10,0)*10,[1]Hugst!$R$4:$W$4,0))))</f>
        <v>5356.4782870085464</v>
      </c>
      <c r="T83">
        <f ca="1">IF($C83-T$1&lt;År1,0,S82*(1-VLOOKUP($A83,[1]Hugst!$R$5:$W$9,MATCH(ROUNDUP((T$1)/10,0)*10,[1]Hugst!$R$4:$W$4,0))))</f>
        <v>5353.0444235509722</v>
      </c>
      <c r="U83">
        <f ca="1">IF($C83-U$1&lt;År1,0,T82*(1-VLOOKUP($A83,[1]Hugst!$R$5:$W$9,MATCH(ROUNDUP((U$1)/10,0)*10,[1]Hugst!$R$4:$W$4,0))))</f>
        <v>5349.6323400912861</v>
      </c>
      <c r="V83">
        <f ca="1">IF($C83-V$1&lt;År1,0,U82*(1-VLOOKUP($A83,[1]Hugst!$R$5:$W$9,MATCH(ROUNDUP((V$1)/10,0)*10,[1]Hugst!$R$4:$W$4,0))))</f>
        <v>5346.2420611706757</v>
      </c>
      <c r="W83">
        <f ca="1">IF($C83-W$1&lt;År1,0,V82*(1-VLOOKUP($A83,[1]Hugst!$R$5:$W$9,MATCH(ROUNDUP((W$1)/10,0)*10,[1]Hugst!$R$4:$W$4,0))))</f>
        <v>5342.8736114946241</v>
      </c>
      <c r="X83">
        <f ca="1">IF($C83-X$1&lt;År1,0,W82*(1-VLOOKUP($A83,[1]Hugst!$R$5:$W$9,MATCH(ROUNDUP((X$1)/10,0)*10,[1]Hugst!$R$4:$W$4,0))))</f>
        <v>5339.5270159333068</v>
      </c>
      <c r="Y83">
        <f ca="1">IF($C83-Y$1&lt;År1,0,X82*(1-VLOOKUP($A83,[1]Hugst!$R$5:$W$9,MATCH(ROUNDUP((Y$1)/10,0)*10,[1]Hugst!$R$4:$W$4,0))))</f>
        <v>5336.2022995222096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55000000000000004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90.96725740666443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3418.1527572490772</v>
      </c>
      <c r="G84">
        <f ca="1">IF($C84-G$1&lt;År1,0,F83*(1-VLOOKUP($A84,[1]Hugst!$R$5:$W$9,MATCH(ROUNDUP((G$1)/10,0)*10,[1]Hugst!$R$4:$W$4,0))))</f>
        <v>3413.3919719202563</v>
      </c>
      <c r="H84">
        <f ca="1">IF($C84-H$1&lt;År1,0,G83*(1-VLOOKUP($A84,[1]Hugst!$R$5:$W$9,MATCH(ROUNDUP((H$1)/10,0)*10,[1]Hugst!$R$4:$W$4,0))))</f>
        <v>3409.7772340318656</v>
      </c>
      <c r="I84">
        <f ca="1">IF($C84-I$1&lt;År1,0,H83*(1-VLOOKUP($A84,[1]Hugst!$R$5:$W$9,MATCH(ROUNDUP((I$1)/10,0)*10,[1]Hugst!$R$4:$W$4,0))))</f>
        <v>3406.1654310362223</v>
      </c>
      <c r="J84">
        <f ca="1">IF($C84-J$1&lt;År1,0,I83*(1-VLOOKUP($A84,[1]Hugst!$R$5:$W$9,MATCH(ROUNDUP((J$1)/10,0)*10,[1]Hugst!$R$4:$W$4,0))))</f>
        <v>3402.5566099163184</v>
      </c>
      <c r="K84">
        <f ca="1">IF($C84-K$1&lt;År1,0,J83*(1-VLOOKUP($A84,[1]Hugst!$R$5:$W$9,MATCH(ROUNDUP((K$1)/10,0)*10,[1]Hugst!$R$4:$W$4,0))))</f>
        <v>3398.950817940387</v>
      </c>
      <c r="L84">
        <f ca="1">IF($C84-L$1&lt;År1,0,K83*(1-VLOOKUP($A84,[1]Hugst!$R$5:$W$9,MATCH(ROUNDUP((L$1)/10,0)*10,[1]Hugst!$R$4:$W$4,0))))</f>
        <v>3395.3481026634886</v>
      </c>
      <c r="M84">
        <f ca="1">IF($C84-M$1&lt;År1,0,L83*(1-VLOOKUP($A84,[1]Hugst!$R$5:$W$9,MATCH(ROUNDUP((M$1)/10,0)*10,[1]Hugst!$R$4:$W$4,0))))</f>
        <v>3391.74851192915</v>
      </c>
      <c r="N84">
        <f ca="1">IF($C84-N$1&lt;År1,0,M83*(1-VLOOKUP($A84,[1]Hugst!$R$5:$W$9,MATCH(ROUNDUP((N$1)/10,0)*10,[1]Hugst!$R$4:$W$4,0))))</f>
        <v>3388.1520938707358</v>
      </c>
      <c r="O84">
        <f ca="1">IF($C84-O$1&lt;År1,0,N83*(1-VLOOKUP($A84,[1]Hugst!$R$5:$W$9,MATCH(ROUNDUP((O$1)/10,0)*10,[1]Hugst!$R$4:$W$4,0))))</f>
        <v>3384.5588969129326</v>
      </c>
      <c r="P84">
        <f ca="1">IF($C84-P$1&lt;År1,0,O83*(1-VLOOKUP($A84,[1]Hugst!$R$5:$W$9,MATCH(ROUNDUP((P$1)/10,0)*10,[1]Hugst!$R$4:$W$4,0))))</f>
        <v>5370.4914516225526</v>
      </c>
      <c r="Q84">
        <f ca="1">IF($C84-Q$1&lt;År1,0,P83*(1-VLOOKUP($A84,[1]Hugst!$R$5:$W$9,MATCH(ROUNDUP((Q$1)/10,0)*10,[1]Hugst!$R$4:$W$4,0))))</f>
        <v>5358.7235020672861</v>
      </c>
      <c r="R84">
        <f ca="1">IF($C84-R$1&lt;År1,0,Q83*(1-VLOOKUP($A84,[1]Hugst!$R$5:$W$9,MATCH(ROUNDUP((R$1)/10,0)*10,[1]Hugst!$R$4:$W$4,0))))</f>
        <v>5355.2297817731051</v>
      </c>
      <c r="S84">
        <f ca="1">IF($C84-S$1&lt;År1,0,R83*(1-VLOOKUP($A84,[1]Hugst!$R$5:$W$9,MATCH(ROUNDUP((S$1)/10,0)*10,[1]Hugst!$R$4:$W$4,0))))</f>
        <v>5351.7577357214223</v>
      </c>
      <c r="T84">
        <f ca="1">IF($C84-T$1&lt;År1,0,S83*(1-VLOOKUP($A84,[1]Hugst!$R$5:$W$9,MATCH(ROUNDUP((T$1)/10,0)*10,[1]Hugst!$R$4:$W$4,0))))</f>
        <v>5348.3073879266685</v>
      </c>
      <c r="U84">
        <f ca="1">IF($C84-U$1&lt;År1,0,T83*(1-VLOOKUP($A84,[1]Hugst!$R$5:$W$9,MATCH(ROUNDUP((U$1)/10,0)*10,[1]Hugst!$R$4:$W$4,0))))</f>
        <v>5344.8787625658942</v>
      </c>
      <c r="V84">
        <f ca="1">IF($C84-V$1&lt;År1,0,U83*(1-VLOOKUP($A84,[1]Hugst!$R$5:$W$9,MATCH(ROUNDUP((V$1)/10,0)*10,[1]Hugst!$R$4:$W$4,0))))</f>
        <v>5341.4718839792822</v>
      </c>
      <c r="W84">
        <f ca="1">IF($C84-W$1&lt;År1,0,V83*(1-VLOOKUP($A84,[1]Hugst!$R$5:$W$9,MATCH(ROUNDUP((W$1)/10,0)*10,[1]Hugst!$R$4:$W$4,0))))</f>
        <v>5338.0867766705851</v>
      </c>
      <c r="X84">
        <f ca="1">IF($C84-X$1&lt;År1,0,W83*(1-VLOOKUP($A84,[1]Hugst!$R$5:$W$9,MATCH(ROUNDUP((X$1)/10,0)*10,[1]Hugst!$R$4:$W$4,0))))</f>
        <v>5334.7234653075984</v>
      </c>
      <c r="Y84">
        <f ca="1">IF($C84-Y$1&lt;År1,0,X83*(1-VLOOKUP($A84,[1]Hugst!$R$5:$W$9,MATCH(ROUNDUP((Y$1)/10,0)*10,[1]Hugst!$R$4:$W$4,0))))</f>
        <v>5331.3819747225607</v>
      </c>
      <c r="Z84">
        <f ca="1">IF($C84-Z$1&lt;År1,0,Y83*(1-VLOOKUP($A84,[1]Hugst!$R$5:$W$9,MATCH(ROUNDUP((Z$1)/10,0)*10,[1]Hugst!$R$4:$W$4,0))))</f>
        <v>5326.9317785781241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55000000000000004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97.118946232571034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3419.8768519091204</v>
      </c>
      <c r="G85">
        <f ca="1">IF($C85-G$1&lt;År1,0,F84*(1-VLOOKUP($A85,[1]Hugst!$R$5:$W$9,MATCH(ROUNDUP((G$1)/10,0)*10,[1]Hugst!$R$4:$W$4,0))))</f>
        <v>3418.1527572490772</v>
      </c>
      <c r="H85">
        <f ca="1">IF($C85-H$1&lt;År1,0,G84*(1-VLOOKUP($A85,[1]Hugst!$R$5:$W$9,MATCH(ROUNDUP((H$1)/10,0)*10,[1]Hugst!$R$4:$W$4,0))))</f>
        <v>3413.3919719202563</v>
      </c>
      <c r="I85">
        <f ca="1">IF($C85-I$1&lt;År1,0,H84*(1-VLOOKUP($A85,[1]Hugst!$R$5:$W$9,MATCH(ROUNDUP((I$1)/10,0)*10,[1]Hugst!$R$4:$W$4,0))))</f>
        <v>3409.7772340318656</v>
      </c>
      <c r="J85">
        <f ca="1">IF($C85-J$1&lt;År1,0,I84*(1-VLOOKUP($A85,[1]Hugst!$R$5:$W$9,MATCH(ROUNDUP((J$1)/10,0)*10,[1]Hugst!$R$4:$W$4,0))))</f>
        <v>3406.1654310362223</v>
      </c>
      <c r="K85">
        <f ca="1">IF($C85-K$1&lt;År1,0,J84*(1-VLOOKUP($A85,[1]Hugst!$R$5:$W$9,MATCH(ROUNDUP((K$1)/10,0)*10,[1]Hugst!$R$4:$W$4,0))))</f>
        <v>3402.5566099163184</v>
      </c>
      <c r="L85">
        <f ca="1">IF($C85-L$1&lt;År1,0,K84*(1-VLOOKUP($A85,[1]Hugst!$R$5:$W$9,MATCH(ROUNDUP((L$1)/10,0)*10,[1]Hugst!$R$4:$W$4,0))))</f>
        <v>3398.950817940387</v>
      </c>
      <c r="M85">
        <f ca="1">IF($C85-M$1&lt;År1,0,L84*(1-VLOOKUP($A85,[1]Hugst!$R$5:$W$9,MATCH(ROUNDUP((M$1)/10,0)*10,[1]Hugst!$R$4:$W$4,0))))</f>
        <v>3395.3481026634886</v>
      </c>
      <c r="N85">
        <f ca="1">IF($C85-N$1&lt;År1,0,M84*(1-VLOOKUP($A85,[1]Hugst!$R$5:$W$9,MATCH(ROUNDUP((N$1)/10,0)*10,[1]Hugst!$R$4:$W$4,0))))</f>
        <v>3391.74851192915</v>
      </c>
      <c r="O85">
        <f ca="1">IF($C85-O$1&lt;År1,0,N84*(1-VLOOKUP($A85,[1]Hugst!$R$5:$W$9,MATCH(ROUNDUP((O$1)/10,0)*10,[1]Hugst!$R$4:$W$4,0))))</f>
        <v>3388.1520938707358</v>
      </c>
      <c r="P85">
        <f ca="1">IF($C85-P$1&lt;År1,0,O84*(1-VLOOKUP($A85,[1]Hugst!$R$5:$W$9,MATCH(ROUNDUP((P$1)/10,0)*10,[1]Hugst!$R$4:$W$4,0))))</f>
        <v>3379.3960104600146</v>
      </c>
      <c r="Q85">
        <f ca="1">IF($C85-Q$1&lt;År1,0,P84*(1-VLOOKUP($A85,[1]Hugst!$R$5:$W$9,MATCH(ROUNDUP((Q$1)/10,0)*10,[1]Hugst!$R$4:$W$4,0))))</f>
        <v>5362.2991765268571</v>
      </c>
      <c r="R85">
        <f ca="1">IF($C85-R$1&lt;År1,0,Q84*(1-VLOOKUP($A85,[1]Hugst!$R$5:$W$9,MATCH(ROUNDUP((R$1)/10,0)*10,[1]Hugst!$R$4:$W$4,0))))</f>
        <v>5350.5491780810817</v>
      </c>
      <c r="S85">
        <f ca="1">IF($C85-S$1&lt;År1,0,R84*(1-VLOOKUP($A85,[1]Hugst!$R$5:$W$9,MATCH(ROUNDUP((S$1)/10,0)*10,[1]Hugst!$R$4:$W$4,0))))</f>
        <v>5347.0607871907396</v>
      </c>
      <c r="T85">
        <f ca="1">IF($C85-T$1&lt;År1,0,S84*(1-VLOOKUP($A85,[1]Hugst!$R$5:$W$9,MATCH(ROUNDUP((T$1)/10,0)*10,[1]Hugst!$R$4:$W$4,0))))</f>
        <v>5343.5940374804914</v>
      </c>
      <c r="U85">
        <f ca="1">IF($C85-U$1&lt;År1,0,T84*(1-VLOOKUP($A85,[1]Hugst!$R$5:$W$9,MATCH(ROUNDUP((U$1)/10,0)*10,[1]Hugst!$R$4:$W$4,0))))</f>
        <v>5340.1489529281362</v>
      </c>
      <c r="V85">
        <f ca="1">IF($C85-V$1&lt;År1,0,U84*(1-VLOOKUP($A85,[1]Hugst!$R$5:$W$9,MATCH(ROUNDUP((V$1)/10,0)*10,[1]Hugst!$R$4:$W$4,0))))</f>
        <v>5336.7255576738444</v>
      </c>
      <c r="W85">
        <f ca="1">IF($C85-W$1&lt;År1,0,V84*(1-VLOOKUP($A85,[1]Hugst!$R$5:$W$9,MATCH(ROUNDUP((W$1)/10,0)*10,[1]Hugst!$R$4:$W$4,0))))</f>
        <v>5333.3238760206696</v>
      </c>
      <c r="X85">
        <f ca="1">IF($C85-X$1&lt;År1,0,W84*(1-VLOOKUP($A85,[1]Hugst!$R$5:$W$9,MATCH(ROUNDUP((X$1)/10,0)*10,[1]Hugst!$R$4:$W$4,0))))</f>
        <v>5329.943932434986</v>
      </c>
      <c r="Y85">
        <f ca="1">IF($C85-Y$1&lt;År1,0,X84*(1-VLOOKUP($A85,[1]Hugst!$R$5:$W$9,MATCH(ROUNDUP((Y$1)/10,0)*10,[1]Hugst!$R$4:$W$4,0))))</f>
        <v>5326.5857515469597</v>
      </c>
      <c r="Z85">
        <f ca="1">IF($C85-Z$1&lt;År1,0,Y84*(1-VLOOKUP($A85,[1]Hugst!$R$5:$W$9,MATCH(ROUNDUP((Z$1)/10,0)*10,[1]Hugst!$R$4:$W$4,0))))</f>
        <v>5322.1198280715598</v>
      </c>
      <c r="AA85">
        <f ca="1">IF($C85-AA$1&lt;År1,0,Z84*(1-VLOOKUP($A85,[1]Hugst!$R$5:$W$9,MATCH(ROUNDUP((AA$1)/10,0)*10,[1]Hugst!$R$4:$W$4,0))))</f>
        <v>5317.6773632000859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55000000000000004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103.26375721830118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3421.6162066997854</v>
      </c>
      <c r="G86">
        <f ca="1">IF($C86-G$1&lt;År1,0,F85*(1-VLOOKUP($A86,[1]Hugst!$R$5:$W$9,MATCH(ROUNDUP((G$1)/10,0)*10,[1]Hugst!$R$4:$W$4,0))))</f>
        <v>3419.8768519091204</v>
      </c>
      <c r="H86">
        <f ca="1">IF($C86-H$1&lt;År1,0,G85*(1-VLOOKUP($A86,[1]Hugst!$R$5:$W$9,MATCH(ROUNDUP((H$1)/10,0)*10,[1]Hugst!$R$4:$W$4,0))))</f>
        <v>3418.1527572490772</v>
      </c>
      <c r="I86">
        <f ca="1">IF($C86-I$1&lt;År1,0,H85*(1-VLOOKUP($A86,[1]Hugst!$R$5:$W$9,MATCH(ROUNDUP((I$1)/10,0)*10,[1]Hugst!$R$4:$W$4,0))))</f>
        <v>3413.3919719202563</v>
      </c>
      <c r="J86">
        <f ca="1">IF($C86-J$1&lt;År1,0,I85*(1-VLOOKUP($A86,[1]Hugst!$R$5:$W$9,MATCH(ROUNDUP((J$1)/10,0)*10,[1]Hugst!$R$4:$W$4,0))))</f>
        <v>3409.7772340318656</v>
      </c>
      <c r="K86">
        <f ca="1">IF($C86-K$1&lt;År1,0,J85*(1-VLOOKUP($A86,[1]Hugst!$R$5:$W$9,MATCH(ROUNDUP((K$1)/10,0)*10,[1]Hugst!$R$4:$W$4,0))))</f>
        <v>3406.1654310362223</v>
      </c>
      <c r="L86">
        <f ca="1">IF($C86-L$1&lt;År1,0,K85*(1-VLOOKUP($A86,[1]Hugst!$R$5:$W$9,MATCH(ROUNDUP((L$1)/10,0)*10,[1]Hugst!$R$4:$W$4,0))))</f>
        <v>3402.5566099163184</v>
      </c>
      <c r="M86">
        <f ca="1">IF($C86-M$1&lt;År1,0,L85*(1-VLOOKUP($A86,[1]Hugst!$R$5:$W$9,MATCH(ROUNDUP((M$1)/10,0)*10,[1]Hugst!$R$4:$W$4,0))))</f>
        <v>3398.950817940387</v>
      </c>
      <c r="N86">
        <f ca="1">IF($C86-N$1&lt;År1,0,M85*(1-VLOOKUP($A86,[1]Hugst!$R$5:$W$9,MATCH(ROUNDUP((N$1)/10,0)*10,[1]Hugst!$R$4:$W$4,0))))</f>
        <v>3395.3481026634886</v>
      </c>
      <c r="O86">
        <f ca="1">IF($C86-O$1&lt;År1,0,N85*(1-VLOOKUP($A86,[1]Hugst!$R$5:$W$9,MATCH(ROUNDUP((O$1)/10,0)*10,[1]Hugst!$R$4:$W$4,0))))</f>
        <v>3391.74851192915</v>
      </c>
      <c r="P86">
        <f ca="1">IF($C86-P$1&lt;År1,0,O85*(1-VLOOKUP($A86,[1]Hugst!$R$5:$W$9,MATCH(ROUNDUP((P$1)/10,0)*10,[1]Hugst!$R$4:$W$4,0))))</f>
        <v>3382.9837262699161</v>
      </c>
      <c r="Q86">
        <f ca="1">IF($C86-Q$1&lt;År1,0,P85*(1-VLOOKUP($A86,[1]Hugst!$R$5:$W$9,MATCH(ROUNDUP((Q$1)/10,0)*10,[1]Hugst!$R$4:$W$4,0))))</f>
        <v>3374.2409995966009</v>
      </c>
      <c r="R86">
        <f ca="1">IF($C86-R$1&lt;År1,0,Q85*(1-VLOOKUP($A86,[1]Hugst!$R$5:$W$9,MATCH(ROUNDUP((R$1)/10,0)*10,[1]Hugst!$R$4:$W$4,0))))</f>
        <v>5354.1193981219858</v>
      </c>
      <c r="S86">
        <f ca="1">IF($C86-S$1&lt;År1,0,R85*(1-VLOOKUP($A86,[1]Hugst!$R$5:$W$9,MATCH(ROUNDUP((S$1)/10,0)*10,[1]Hugst!$R$4:$W$4,0))))</f>
        <v>5342.3873234026523</v>
      </c>
      <c r="T86">
        <f ca="1">IF($C86-T$1&lt;År1,0,S85*(1-VLOOKUP($A86,[1]Hugst!$R$5:$W$9,MATCH(ROUNDUP((T$1)/10,0)*10,[1]Hugst!$R$4:$W$4,0))))</f>
        <v>5338.9042537865498</v>
      </c>
      <c r="U86">
        <f ca="1">IF($C86-U$1&lt;År1,0,T85*(1-VLOOKUP($A86,[1]Hugst!$R$5:$W$9,MATCH(ROUNDUP((U$1)/10,0)*10,[1]Hugst!$R$4:$W$4,0))))</f>
        <v>5335.442792338572</v>
      </c>
      <c r="V86">
        <f ca="1">IF($C86-V$1&lt;År1,0,U85*(1-VLOOKUP($A86,[1]Hugst!$R$5:$W$9,MATCH(ROUNDUP((V$1)/10,0)*10,[1]Hugst!$R$4:$W$4,0))))</f>
        <v>5332.0029629999408</v>
      </c>
      <c r="W86">
        <f ca="1">IF($C86-W$1&lt;År1,0,V85*(1-VLOOKUP($A86,[1]Hugst!$R$5:$W$9,MATCH(ROUNDUP((W$1)/10,0)*10,[1]Hugst!$R$4:$W$4,0))))</f>
        <v>5328.584789874003</v>
      </c>
      <c r="X86">
        <f ca="1">IF($C86-X$1&lt;År1,0,W85*(1-VLOOKUP($A86,[1]Hugst!$R$5:$W$9,MATCH(ROUNDUP((X$1)/10,0)*10,[1]Hugst!$R$4:$W$4,0))))</f>
        <v>5325.1882972267395</v>
      </c>
      <c r="Y86">
        <f ca="1">IF($C86-Y$1&lt;År1,0,X85*(1-VLOOKUP($A86,[1]Hugst!$R$5:$W$9,MATCH(ROUNDUP((Y$1)/10,0)*10,[1]Hugst!$R$4:$W$4,0))))</f>
        <v>5321.8135094872032</v>
      </c>
      <c r="Z86">
        <f ca="1">IF($C86-Z$1&lt;År1,0,Y85*(1-VLOOKUP($A86,[1]Hugst!$R$5:$W$9,MATCH(ROUNDUP((Z$1)/10,0)*10,[1]Hugst!$R$4:$W$4,0))))</f>
        <v>5317.3319373175773</v>
      </c>
      <c r="AA86">
        <f ca="1">IF($C86-AA$1&lt;År1,0,Z85*(1-VLOOKUP($A86,[1]Hugst!$R$5:$W$9,MATCH(ROUNDUP((AA$1)/10,0)*10,[1]Hugst!$R$4:$W$4,0))))</f>
        <v>5312.8737724380453</v>
      </c>
      <c r="AB86">
        <f ca="1">IF($C86-AB$1&lt;År1,0,AA85*(1-VLOOKUP($A86,[1]Hugst!$R$5:$W$9,MATCH(ROUNDUP((AB$1)/10,0)*10,[1]Hugst!$R$4:$W$4,0))))</f>
        <v>5308.4390254080854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55000000000000004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109.40171601822658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3423.3707365856276</v>
      </c>
      <c r="G87">
        <f ca="1">IF($C87-G$1&lt;År1,0,F86*(1-VLOOKUP($A87,[1]Hugst!$R$5:$W$9,MATCH(ROUNDUP((G$1)/10,0)*10,[1]Hugst!$R$4:$W$4,0))))</f>
        <v>3421.6162066997854</v>
      </c>
      <c r="H87">
        <f ca="1">IF($C87-H$1&lt;År1,0,G86*(1-VLOOKUP($A87,[1]Hugst!$R$5:$W$9,MATCH(ROUNDUP((H$1)/10,0)*10,[1]Hugst!$R$4:$W$4,0))))</f>
        <v>3419.8768519091204</v>
      </c>
      <c r="I87">
        <f ca="1">IF($C87-I$1&lt;År1,0,H86*(1-VLOOKUP($A87,[1]Hugst!$R$5:$W$9,MATCH(ROUNDUP((I$1)/10,0)*10,[1]Hugst!$R$4:$W$4,0))))</f>
        <v>3418.1527572490772</v>
      </c>
      <c r="J87">
        <f ca="1">IF($C87-J$1&lt;År1,0,I86*(1-VLOOKUP($A87,[1]Hugst!$R$5:$W$9,MATCH(ROUNDUP((J$1)/10,0)*10,[1]Hugst!$R$4:$W$4,0))))</f>
        <v>3413.3919719202563</v>
      </c>
      <c r="K87">
        <f ca="1">IF($C87-K$1&lt;År1,0,J86*(1-VLOOKUP($A87,[1]Hugst!$R$5:$W$9,MATCH(ROUNDUP((K$1)/10,0)*10,[1]Hugst!$R$4:$W$4,0))))</f>
        <v>3409.7772340318656</v>
      </c>
      <c r="L87">
        <f ca="1">IF($C87-L$1&lt;År1,0,K86*(1-VLOOKUP($A87,[1]Hugst!$R$5:$W$9,MATCH(ROUNDUP((L$1)/10,0)*10,[1]Hugst!$R$4:$W$4,0))))</f>
        <v>3406.1654310362223</v>
      </c>
      <c r="M87">
        <f ca="1">IF($C87-M$1&lt;År1,0,L86*(1-VLOOKUP($A87,[1]Hugst!$R$5:$W$9,MATCH(ROUNDUP((M$1)/10,0)*10,[1]Hugst!$R$4:$W$4,0))))</f>
        <v>3402.5566099163184</v>
      </c>
      <c r="N87">
        <f ca="1">IF($C87-N$1&lt;År1,0,M86*(1-VLOOKUP($A87,[1]Hugst!$R$5:$W$9,MATCH(ROUNDUP((N$1)/10,0)*10,[1]Hugst!$R$4:$W$4,0))))</f>
        <v>3398.950817940387</v>
      </c>
      <c r="O87">
        <f ca="1">IF($C87-O$1&lt;År1,0,N86*(1-VLOOKUP($A87,[1]Hugst!$R$5:$W$9,MATCH(ROUNDUP((O$1)/10,0)*10,[1]Hugst!$R$4:$W$4,0))))</f>
        <v>3395.3481026634886</v>
      </c>
      <c r="P87">
        <f ca="1">IF($C87-P$1&lt;År1,0,O86*(1-VLOOKUP($A87,[1]Hugst!$R$5:$W$9,MATCH(ROUNDUP((P$1)/10,0)*10,[1]Hugst!$R$4:$W$4,0))))</f>
        <v>3386.5746582668853</v>
      </c>
      <c r="Q87">
        <f ca="1">IF($C87-Q$1&lt;År1,0,P86*(1-VLOOKUP($A87,[1]Hugst!$R$5:$W$9,MATCH(ROUNDUP((Q$1)/10,0)*10,[1]Hugst!$R$4:$W$4,0))))</f>
        <v>3377.8232426196737</v>
      </c>
      <c r="R87">
        <f ca="1">IF($C87-R$1&lt;År1,0,Q86*(1-VLOOKUP($A87,[1]Hugst!$R$5:$W$9,MATCH(ROUNDUP((R$1)/10,0)*10,[1]Hugst!$R$4:$W$4,0))))</f>
        <v>3369.0938523090804</v>
      </c>
      <c r="S87">
        <f ca="1">IF($C87-S$1&lt;År1,0,R86*(1-VLOOKUP($A87,[1]Hugst!$R$5:$W$9,MATCH(ROUNDUP((S$1)/10,0)*10,[1]Hugst!$R$4:$W$4,0))))</f>
        <v>5345.952097345189</v>
      </c>
      <c r="T87">
        <f ca="1">IF($C87-T$1&lt;År1,0,S86*(1-VLOOKUP($A87,[1]Hugst!$R$5:$W$9,MATCH(ROUNDUP((T$1)/10,0)*10,[1]Hugst!$R$4:$W$4,0))))</f>
        <v>5334.2379190110214</v>
      </c>
      <c r="U87">
        <f ca="1">IF($C87-U$1&lt;År1,0,T86*(1-VLOOKUP($A87,[1]Hugst!$R$5:$W$9,MATCH(ROUNDUP((U$1)/10,0)*10,[1]Hugst!$R$4:$W$4,0))))</f>
        <v>5330.7601625519601</v>
      </c>
      <c r="V87">
        <f ca="1">IF($C87-V$1&lt;År1,0,U86*(1-VLOOKUP($A87,[1]Hugst!$R$5:$W$9,MATCH(ROUNDUP((V$1)/10,0)*10,[1]Hugst!$R$4:$W$4,0))))</f>
        <v>5327.3039812994111</v>
      </c>
      <c r="W87">
        <f ca="1">IF($C87-W$1&lt;År1,0,V86*(1-VLOOKUP($A87,[1]Hugst!$R$5:$W$9,MATCH(ROUNDUP((W$1)/10,0)*10,[1]Hugst!$R$4:$W$4,0))))</f>
        <v>5323.8693991580767</v>
      </c>
      <c r="X87">
        <f ca="1">IF($C87-X$1&lt;År1,0,W86*(1-VLOOKUP($A87,[1]Hugst!$R$5:$W$9,MATCH(ROUNDUP((X$1)/10,0)*10,[1]Hugst!$R$4:$W$4,0))))</f>
        <v>5320.4564401945345</v>
      </c>
      <c r="Y87">
        <f ca="1">IF($C87-Y$1&lt;År1,0,X86*(1-VLOOKUP($A87,[1]Hugst!$R$5:$W$9,MATCH(ROUNDUP((Y$1)/10,0)*10,[1]Hugst!$R$4:$W$4,0))))</f>
        <v>5317.0651286377497</v>
      </c>
      <c r="Z87">
        <f ca="1">IF($C87-Z$1&lt;År1,0,Y86*(1-VLOOKUP($A87,[1]Hugst!$R$5:$W$9,MATCH(ROUNDUP((Z$1)/10,0)*10,[1]Hugst!$R$4:$W$4,0))))</f>
        <v>5312.5679860173314</v>
      </c>
      <c r="AA87">
        <f ca="1">IF($C87-AA$1&lt;År1,0,Z86*(1-VLOOKUP($A87,[1]Hugst!$R$5:$W$9,MATCH(ROUNDUP((AA$1)/10,0)*10,[1]Hugst!$R$4:$W$4,0))))</f>
        <v>5308.0941996298643</v>
      </c>
      <c r="AB87">
        <f ca="1">IF($C87-AB$1&lt;År1,0,AA86*(1-VLOOKUP($A87,[1]Hugst!$R$5:$W$9,MATCH(ROUNDUP((AB$1)/10,0)*10,[1]Hugst!$R$4:$W$4,0))))</f>
        <v>5303.6437798672841</v>
      </c>
      <c r="AC87">
        <f ca="1">IF($C87-AC$1&lt;År1,0,AB86*(1-VLOOKUP($A87,[1]Hugst!$R$5:$W$9,MATCH(ROUNDUP((AC$1)/10,0)*10,[1]Hugst!$R$4:$W$4,0))))</f>
        <v>5299.2167372707236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55000000000000004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115.53284813064965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3425.1403569285535</v>
      </c>
      <c r="G88">
        <f ca="1">IF($C88-G$1&lt;År1,0,F87*(1-VLOOKUP($A88,[1]Hugst!$R$5:$W$9,MATCH(ROUNDUP((G$1)/10,0)*10,[1]Hugst!$R$4:$W$4,0))))</f>
        <v>3423.3707365856276</v>
      </c>
      <c r="H88">
        <f ca="1">IF($C88-H$1&lt;År1,0,G87*(1-VLOOKUP($A88,[1]Hugst!$R$5:$W$9,MATCH(ROUNDUP((H$1)/10,0)*10,[1]Hugst!$R$4:$W$4,0))))</f>
        <v>3421.6162066997854</v>
      </c>
      <c r="I88">
        <f ca="1">IF($C88-I$1&lt;År1,0,H87*(1-VLOOKUP($A88,[1]Hugst!$R$5:$W$9,MATCH(ROUNDUP((I$1)/10,0)*10,[1]Hugst!$R$4:$W$4,0))))</f>
        <v>3419.8768519091204</v>
      </c>
      <c r="J88">
        <f ca="1">IF($C88-J$1&lt;År1,0,I87*(1-VLOOKUP($A88,[1]Hugst!$R$5:$W$9,MATCH(ROUNDUP((J$1)/10,0)*10,[1]Hugst!$R$4:$W$4,0))))</f>
        <v>3418.1527572490772</v>
      </c>
      <c r="K88">
        <f ca="1">IF($C88-K$1&lt;År1,0,J87*(1-VLOOKUP($A88,[1]Hugst!$R$5:$W$9,MATCH(ROUNDUP((K$1)/10,0)*10,[1]Hugst!$R$4:$W$4,0))))</f>
        <v>3413.3919719202563</v>
      </c>
      <c r="L88">
        <f ca="1">IF($C88-L$1&lt;År1,0,K87*(1-VLOOKUP($A88,[1]Hugst!$R$5:$W$9,MATCH(ROUNDUP((L$1)/10,0)*10,[1]Hugst!$R$4:$W$4,0))))</f>
        <v>3409.7772340318656</v>
      </c>
      <c r="M88">
        <f ca="1">IF($C88-M$1&lt;År1,0,L87*(1-VLOOKUP($A88,[1]Hugst!$R$5:$W$9,MATCH(ROUNDUP((M$1)/10,0)*10,[1]Hugst!$R$4:$W$4,0))))</f>
        <v>3406.1654310362223</v>
      </c>
      <c r="N88">
        <f ca="1">IF($C88-N$1&lt;År1,0,M87*(1-VLOOKUP($A88,[1]Hugst!$R$5:$W$9,MATCH(ROUNDUP((N$1)/10,0)*10,[1]Hugst!$R$4:$W$4,0))))</f>
        <v>3402.5566099163184</v>
      </c>
      <c r="O88">
        <f ca="1">IF($C88-O$1&lt;År1,0,N87*(1-VLOOKUP($A88,[1]Hugst!$R$5:$W$9,MATCH(ROUNDUP((O$1)/10,0)*10,[1]Hugst!$R$4:$W$4,0))))</f>
        <v>3398.950817940387</v>
      </c>
      <c r="P88">
        <f ca="1">IF($C88-P$1&lt;År1,0,O87*(1-VLOOKUP($A88,[1]Hugst!$R$5:$W$9,MATCH(ROUNDUP((P$1)/10,0)*10,[1]Hugst!$R$4:$W$4,0))))</f>
        <v>3390.1687581001033</v>
      </c>
      <c r="Q88">
        <f ca="1">IF($C88-Q$1&lt;År1,0,P87*(1-VLOOKUP($A88,[1]Hugst!$R$5:$W$9,MATCH(ROUNDUP((Q$1)/10,0)*10,[1]Hugst!$R$4:$W$4,0))))</f>
        <v>3381.408696923766</v>
      </c>
      <c r="R88">
        <f ca="1">IF($C88-R$1&lt;År1,0,Q87*(1-VLOOKUP($A88,[1]Hugst!$R$5:$W$9,MATCH(ROUNDUP((R$1)/10,0)*10,[1]Hugst!$R$4:$W$4,0))))</f>
        <v>3372.6706308936436</v>
      </c>
      <c r="S88">
        <f ca="1">IF($C88-S$1&lt;År1,0,R87*(1-VLOOKUP($A88,[1]Hugst!$R$5:$W$9,MATCH(ROUNDUP((S$1)/10,0)*10,[1]Hugst!$R$4:$W$4,0))))</f>
        <v>3363.9545566021679</v>
      </c>
      <c r="T88">
        <f ca="1">IF($C88-T$1&lt;År1,0,S87*(1-VLOOKUP($A88,[1]Hugst!$R$5:$W$9,MATCH(ROUNDUP((T$1)/10,0)*10,[1]Hugst!$R$4:$W$4,0))))</f>
        <v>5337.7972551627981</v>
      </c>
      <c r="U88">
        <f ca="1">IF($C88-U$1&lt;År1,0,T87*(1-VLOOKUP($A88,[1]Hugst!$R$5:$W$9,MATCH(ROUNDUP((U$1)/10,0)*10,[1]Hugst!$R$4:$W$4,0))))</f>
        <v>5326.1009459142251</v>
      </c>
      <c r="V88">
        <f ca="1">IF($C88-V$1&lt;År1,0,U87*(1-VLOOKUP($A88,[1]Hugst!$R$5:$W$9,MATCH(ROUNDUP((V$1)/10,0)*10,[1]Hugst!$R$4:$W$4,0))))</f>
        <v>5322.6284945073894</v>
      </c>
      <c r="W88">
        <f ca="1">IF($C88-W$1&lt;År1,0,V87*(1-VLOOKUP($A88,[1]Hugst!$R$5:$W$9,MATCH(ROUNDUP((W$1)/10,0)*10,[1]Hugst!$R$4:$W$4,0))))</f>
        <v>5319.1775853957342</v>
      </c>
      <c r="X88">
        <f ca="1">IF($C88-X$1&lt;År1,0,W87*(1-VLOOKUP($A88,[1]Hugst!$R$5:$W$9,MATCH(ROUNDUP((X$1)/10,0)*10,[1]Hugst!$R$4:$W$4,0))))</f>
        <v>5315.7482424474965</v>
      </c>
      <c r="Y88">
        <f ca="1">IF($C88-Y$1&lt;År1,0,X87*(1-VLOOKUP($A88,[1]Hugst!$R$5:$W$9,MATCH(ROUNDUP((Y$1)/10,0)*10,[1]Hugst!$R$4:$W$4,0))))</f>
        <v>5312.3404896925431</v>
      </c>
      <c r="Z88">
        <f ca="1">IF($C88-Z$1&lt;År1,0,Y87*(1-VLOOKUP($A88,[1]Hugst!$R$5:$W$9,MATCH(ROUNDUP((Z$1)/10,0)*10,[1]Hugst!$R$4:$W$4,0))))</f>
        <v>5307.8278544735904</v>
      </c>
      <c r="AA88">
        <f ca="1">IF($C88-AA$1&lt;År1,0,Z87*(1-VLOOKUP($A88,[1]Hugst!$R$5:$W$9,MATCH(ROUNDUP((AA$1)/10,0)*10,[1]Hugst!$R$4:$W$4,0))))</f>
        <v>5303.3385246856906</v>
      </c>
      <c r="AB88">
        <f ca="1">IF($C88-AB$1&lt;År1,0,AA87*(1-VLOOKUP($A88,[1]Hugst!$R$5:$W$9,MATCH(ROUNDUP((AB$1)/10,0)*10,[1]Hugst!$R$4:$W$4,0))))</f>
        <v>5298.8725105542362</v>
      </c>
      <c r="AC88">
        <f ca="1">IF($C88-AC$1&lt;År1,0,AB87*(1-VLOOKUP($A88,[1]Hugst!$R$5:$W$9,MATCH(ROUNDUP((AC$1)/10,0)*10,[1]Hugst!$R$4:$W$4,0))))</f>
        <v>5294.4298224531076</v>
      </c>
      <c r="AD88">
        <f ca="1">IF($C88-AD$1&lt;År1,0,AC87*(1-VLOOKUP($A88,[1]Hugst!$R$5:$W$9,MATCH(ROUNDUP((AD$1)/10,0)*10,[1]Hugst!$R$4:$W$4,0))))</f>
        <v>5290.0104709051257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55000000000000004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121.65717889847292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3426.9249834857178</v>
      </c>
      <c r="G89">
        <f ca="1">IF($C89-G$1&lt;År1,0,F88*(1-VLOOKUP($A89,[1]Hugst!$R$5:$W$9,MATCH(ROUNDUP((G$1)/10,0)*10,[1]Hugst!$R$4:$W$4,0))))</f>
        <v>3425.1403569285535</v>
      </c>
      <c r="H89">
        <f ca="1">IF($C89-H$1&lt;År1,0,G88*(1-VLOOKUP($A89,[1]Hugst!$R$5:$W$9,MATCH(ROUNDUP((H$1)/10,0)*10,[1]Hugst!$R$4:$W$4,0))))</f>
        <v>3423.3707365856276</v>
      </c>
      <c r="I89">
        <f ca="1">IF($C89-I$1&lt;År1,0,H88*(1-VLOOKUP($A89,[1]Hugst!$R$5:$W$9,MATCH(ROUNDUP((I$1)/10,0)*10,[1]Hugst!$R$4:$W$4,0))))</f>
        <v>3421.6162066997854</v>
      </c>
      <c r="J89">
        <f ca="1">IF($C89-J$1&lt;År1,0,I88*(1-VLOOKUP($A89,[1]Hugst!$R$5:$W$9,MATCH(ROUNDUP((J$1)/10,0)*10,[1]Hugst!$R$4:$W$4,0))))</f>
        <v>3419.8768519091204</v>
      </c>
      <c r="K89">
        <f ca="1">IF($C89-K$1&lt;År1,0,J88*(1-VLOOKUP($A89,[1]Hugst!$R$5:$W$9,MATCH(ROUNDUP((K$1)/10,0)*10,[1]Hugst!$R$4:$W$4,0))))</f>
        <v>3418.1527572490772</v>
      </c>
      <c r="L89">
        <f ca="1">IF($C89-L$1&lt;År1,0,K88*(1-VLOOKUP($A89,[1]Hugst!$R$5:$W$9,MATCH(ROUNDUP((L$1)/10,0)*10,[1]Hugst!$R$4:$W$4,0))))</f>
        <v>3413.3919719202563</v>
      </c>
      <c r="M89">
        <f ca="1">IF($C89-M$1&lt;År1,0,L88*(1-VLOOKUP($A89,[1]Hugst!$R$5:$W$9,MATCH(ROUNDUP((M$1)/10,0)*10,[1]Hugst!$R$4:$W$4,0))))</f>
        <v>3409.7772340318656</v>
      </c>
      <c r="N89">
        <f ca="1">IF($C89-N$1&lt;År1,0,M88*(1-VLOOKUP($A89,[1]Hugst!$R$5:$W$9,MATCH(ROUNDUP((N$1)/10,0)*10,[1]Hugst!$R$4:$W$4,0))))</f>
        <v>3406.1654310362223</v>
      </c>
      <c r="O89">
        <f ca="1">IF($C89-O$1&lt;År1,0,N88*(1-VLOOKUP($A89,[1]Hugst!$R$5:$W$9,MATCH(ROUNDUP((O$1)/10,0)*10,[1]Hugst!$R$4:$W$4,0))))</f>
        <v>3402.5566099163184</v>
      </c>
      <c r="P89">
        <f ca="1">IF($C89-P$1&lt;År1,0,O88*(1-VLOOKUP($A89,[1]Hugst!$R$5:$W$9,MATCH(ROUNDUP((P$1)/10,0)*10,[1]Hugst!$R$4:$W$4,0))))</f>
        <v>3393.7659777096305</v>
      </c>
      <c r="Q89">
        <f ca="1">IF($C89-Q$1&lt;År1,0,P88*(1-VLOOKUP($A89,[1]Hugst!$R$5:$W$9,MATCH(ROUNDUP((Q$1)/10,0)*10,[1]Hugst!$R$4:$W$4,0))))</f>
        <v>3384.9973142318149</v>
      </c>
      <c r="R89">
        <f ca="1">IF($C89-R$1&lt;År1,0,Q88*(1-VLOOKUP($A89,[1]Hugst!$R$5:$W$9,MATCH(ROUNDUP((R$1)/10,0)*10,[1]Hugst!$R$4:$W$4,0))))</f>
        <v>3376.250615860662</v>
      </c>
      <c r="S89">
        <f ca="1">IF($C89-S$1&lt;År1,0,R88*(1-VLOOKUP($A89,[1]Hugst!$R$5:$W$9,MATCH(ROUNDUP((S$1)/10,0)*10,[1]Hugst!$R$4:$W$4,0))))</f>
        <v>3367.5258790838056</v>
      </c>
      <c r="T89">
        <f ca="1">IF($C89-T$1&lt;År1,0,S88*(1-VLOOKUP($A89,[1]Hugst!$R$5:$W$9,MATCH(ROUNDUP((T$1)/10,0)*10,[1]Hugst!$R$4:$W$4,0))))</f>
        <v>3358.8231004988766</v>
      </c>
      <c r="U89">
        <f ca="1">IF($C89-U$1&lt;År1,0,T88*(1-VLOOKUP($A89,[1]Hugst!$R$5:$W$9,MATCH(ROUNDUP((U$1)/10,0)*10,[1]Hugst!$R$4:$W$4,0))))</f>
        <v>5329.6548525701764</v>
      </c>
      <c r="V89">
        <f ca="1">IF($C89-V$1&lt;År1,0,U88*(1-VLOOKUP($A89,[1]Hugst!$R$5:$W$9,MATCH(ROUNDUP((V$1)/10,0)*10,[1]Hugst!$R$4:$W$4,0))))</f>
        <v>5317.9763851492708</v>
      </c>
      <c r="W89">
        <f ca="1">IF($C89-W$1&lt;År1,0,V88*(1-VLOOKUP($A89,[1]Hugst!$R$5:$W$9,MATCH(ROUNDUP((W$1)/10,0)*10,[1]Hugst!$R$4:$W$4,0))))</f>
        <v>5314.5092307022087</v>
      </c>
      <c r="X89">
        <f ca="1">IF($C89-X$1&lt;År1,0,W88*(1-VLOOKUP($A89,[1]Hugst!$R$5:$W$9,MATCH(ROUNDUP((X$1)/10,0)*10,[1]Hugst!$R$4:$W$4,0))))</f>
        <v>5311.0635856891986</v>
      </c>
      <c r="Y89">
        <f ca="1">IF($C89-Y$1&lt;År1,0,X88*(1-VLOOKUP($A89,[1]Hugst!$R$5:$W$9,MATCH(ROUNDUP((Y$1)/10,0)*10,[1]Hugst!$R$4:$W$4,0))))</f>
        <v>5307.6394739420675</v>
      </c>
      <c r="Z89">
        <f ca="1">IF($C89-Z$1&lt;År1,0,Y88*(1-VLOOKUP($A89,[1]Hugst!$R$5:$W$9,MATCH(ROUNDUP((Z$1)/10,0)*10,[1]Hugst!$R$4:$W$4,0))))</f>
        <v>5303.1114235875684</v>
      </c>
      <c r="AA89">
        <f ca="1">IF($C89-AA$1&lt;År1,0,Z88*(1-VLOOKUP($A89,[1]Hugst!$R$5:$W$9,MATCH(ROUNDUP((AA$1)/10,0)*10,[1]Hugst!$R$4:$W$4,0))))</f>
        <v>5298.6066281162421</v>
      </c>
      <c r="AB89">
        <f ca="1">IF($C89-AB$1&lt;År1,0,AA88*(1-VLOOKUP($A89,[1]Hugst!$R$5:$W$9,MATCH(ROUNDUP((AB$1)/10,0)*10,[1]Hugst!$R$4:$W$4,0))))</f>
        <v>5294.1250975877192</v>
      </c>
      <c r="AC89">
        <f ca="1">IF($C89-AC$1&lt;År1,0,AB88*(1-VLOOKUP($A89,[1]Hugst!$R$5:$W$9,MATCH(ROUNDUP((AC$1)/10,0)*10,[1]Hugst!$R$4:$W$4,0))))</f>
        <v>5289.6668422096291</v>
      </c>
      <c r="AD89">
        <f ca="1">IF($C89-AD$1&lt;År1,0,AC88*(1-VLOOKUP($A89,[1]Hugst!$R$5:$W$9,MATCH(ROUNDUP((AD$1)/10,0)*10,[1]Hugst!$R$4:$W$4,0))))</f>
        <v>5285.2318723378285</v>
      </c>
      <c r="AE89">
        <f ca="1">IF($C89-AE$1&lt;År1,0,AD88*(1-VLOOKUP($A89,[1]Hugst!$R$5:$W$9,MATCH(ROUNDUP((AE$1)/10,0)*10,[1]Hugst!$R$4:$W$4,0))))</f>
        <v>5280.8201984768584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55000000000000004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127.77473351004301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3428.7245324077153</v>
      </c>
      <c r="G90">
        <f ca="1">IF($C90-G$1&lt;År1,0,F89*(1-VLOOKUP($A90,[1]Hugst!$R$5:$W$9,MATCH(ROUNDUP((G$1)/10,0)*10,[1]Hugst!$R$4:$W$4,0))))</f>
        <v>3426.9249834857178</v>
      </c>
      <c r="H90">
        <f ca="1">IF($C90-H$1&lt;År1,0,G89*(1-VLOOKUP($A90,[1]Hugst!$R$5:$W$9,MATCH(ROUNDUP((H$1)/10,0)*10,[1]Hugst!$R$4:$W$4,0))))</f>
        <v>3425.1403569285535</v>
      </c>
      <c r="I90">
        <f ca="1">IF($C90-I$1&lt;År1,0,H89*(1-VLOOKUP($A90,[1]Hugst!$R$5:$W$9,MATCH(ROUNDUP((I$1)/10,0)*10,[1]Hugst!$R$4:$W$4,0))))</f>
        <v>3423.3707365856276</v>
      </c>
      <c r="J90">
        <f ca="1">IF($C90-J$1&lt;År1,0,I89*(1-VLOOKUP($A90,[1]Hugst!$R$5:$W$9,MATCH(ROUNDUP((J$1)/10,0)*10,[1]Hugst!$R$4:$W$4,0))))</f>
        <v>3421.6162066997854</v>
      </c>
      <c r="K90">
        <f ca="1">IF($C90-K$1&lt;År1,0,J89*(1-VLOOKUP($A90,[1]Hugst!$R$5:$W$9,MATCH(ROUNDUP((K$1)/10,0)*10,[1]Hugst!$R$4:$W$4,0))))</f>
        <v>3419.8768519091204</v>
      </c>
      <c r="L90">
        <f ca="1">IF($C90-L$1&lt;År1,0,K89*(1-VLOOKUP($A90,[1]Hugst!$R$5:$W$9,MATCH(ROUNDUP((L$1)/10,0)*10,[1]Hugst!$R$4:$W$4,0))))</f>
        <v>3418.1527572490772</v>
      </c>
      <c r="M90">
        <f ca="1">IF($C90-M$1&lt;År1,0,L89*(1-VLOOKUP($A90,[1]Hugst!$R$5:$W$9,MATCH(ROUNDUP((M$1)/10,0)*10,[1]Hugst!$R$4:$W$4,0))))</f>
        <v>3413.3919719202563</v>
      </c>
      <c r="N90">
        <f ca="1">IF($C90-N$1&lt;År1,0,M89*(1-VLOOKUP($A90,[1]Hugst!$R$5:$W$9,MATCH(ROUNDUP((N$1)/10,0)*10,[1]Hugst!$R$4:$W$4,0))))</f>
        <v>3409.7772340318656</v>
      </c>
      <c r="O90">
        <f ca="1">IF($C90-O$1&lt;År1,0,N89*(1-VLOOKUP($A90,[1]Hugst!$R$5:$W$9,MATCH(ROUNDUP((O$1)/10,0)*10,[1]Hugst!$R$4:$W$4,0))))</f>
        <v>3406.1654310362223</v>
      </c>
      <c r="P90">
        <f ca="1">IF($C90-P$1&lt;År1,0,O89*(1-VLOOKUP($A90,[1]Hugst!$R$5:$W$9,MATCH(ROUNDUP((P$1)/10,0)*10,[1]Hugst!$R$4:$W$4,0))))</f>
        <v>3397.3662693249207</v>
      </c>
      <c r="Q90">
        <f ca="1">IF($C90-Q$1&lt;År1,0,P89*(1-VLOOKUP($A90,[1]Hugst!$R$5:$W$9,MATCH(ROUNDUP((Q$1)/10,0)*10,[1]Hugst!$R$4:$W$4,0))))</f>
        <v>3388.589046557192</v>
      </c>
      <c r="R90">
        <f ca="1">IF($C90-R$1&lt;År1,0,Q89*(1-VLOOKUP($A90,[1]Hugst!$R$5:$W$9,MATCH(ROUNDUP((R$1)/10,0)*10,[1]Hugst!$R$4:$W$4,0))))</f>
        <v>3379.8337590067154</v>
      </c>
      <c r="S90">
        <f ca="1">IF($C90-S$1&lt;År1,0,R89*(1-VLOOKUP($A90,[1]Hugst!$R$5:$W$9,MATCH(ROUNDUP((S$1)/10,0)*10,[1]Hugst!$R$4:$W$4,0))))</f>
        <v>3371.1004030568065</v>
      </c>
      <c r="T90">
        <f ca="1">IF($C90-T$1&lt;År1,0,S89*(1-VLOOKUP($A90,[1]Hugst!$R$5:$W$9,MATCH(ROUNDUP((T$1)/10,0)*10,[1]Hugst!$R$4:$W$4,0))))</f>
        <v>3362.3889752004575</v>
      </c>
      <c r="U90">
        <f ca="1">IF($C90-U$1&lt;År1,0,T89*(1-VLOOKUP($A90,[1]Hugst!$R$5:$W$9,MATCH(ROUNDUP((U$1)/10,0)*10,[1]Hugst!$R$4:$W$4,0))))</f>
        <v>3353.6994720404882</v>
      </c>
      <c r="V90">
        <f ca="1">IF($C90-V$1&lt;År1,0,U89*(1-VLOOKUP($A90,[1]Hugst!$R$5:$W$9,MATCH(ROUNDUP((V$1)/10,0)*10,[1]Hugst!$R$4:$W$4,0))))</f>
        <v>5321.5248705916792</v>
      </c>
      <c r="W90">
        <f ca="1">IF($C90-W$1&lt;År1,0,V89*(1-VLOOKUP($A90,[1]Hugst!$R$5:$W$9,MATCH(ROUNDUP((W$1)/10,0)*10,[1]Hugst!$R$4:$W$4,0))))</f>
        <v>5309.8642177820939</v>
      </c>
      <c r="X90">
        <f ca="1">IF($C90-X$1&lt;År1,0,W89*(1-VLOOKUP($A90,[1]Hugst!$R$5:$W$9,MATCH(ROUNDUP((X$1)/10,0)*10,[1]Hugst!$R$4:$W$4,0))))</f>
        <v>5306.4023522146963</v>
      </c>
      <c r="Y90">
        <f ca="1">IF($C90-Y$1&lt;År1,0,X89*(1-VLOOKUP($A90,[1]Hugst!$R$5:$W$9,MATCH(ROUNDUP((Y$1)/10,0)*10,[1]Hugst!$R$4:$W$4,0))))</f>
        <v>5302.9619632703507</v>
      </c>
      <c r="Z90">
        <f ca="1">IF($C90-Z$1&lt;År1,0,Y89*(1-VLOOKUP($A90,[1]Hugst!$R$5:$W$9,MATCH(ROUNDUP((Z$1)/10,0)*10,[1]Hugst!$R$4:$W$4,0))))</f>
        <v>5298.4185748559812</v>
      </c>
      <c r="AA90">
        <f ca="1">IF($C90-AA$1&lt;År1,0,Z89*(1-VLOOKUP($A90,[1]Hugst!$R$5:$W$9,MATCH(ROUNDUP((AA$1)/10,0)*10,[1]Hugst!$R$4:$W$4,0))))</f>
        <v>5293.8983910296411</v>
      </c>
      <c r="AB90">
        <f ca="1">IF($C90-AB$1&lt;År1,0,AA89*(1-VLOOKUP($A90,[1]Hugst!$R$5:$W$9,MATCH(ROUNDUP((AB$1)/10,0)*10,[1]Hugst!$R$4:$W$4,0))))</f>
        <v>5289.4014216860396</v>
      </c>
      <c r="AC90">
        <f ca="1">IF($C90-AC$1&lt;År1,0,AB89*(1-VLOOKUP($A90,[1]Hugst!$R$5:$W$9,MATCH(ROUNDUP((AC$1)/10,0)*10,[1]Hugst!$R$4:$W$4,0))))</f>
        <v>5284.9276768673335</v>
      </c>
      <c r="AD90">
        <f ca="1">IF($C90-AD$1&lt;År1,0,AC89*(1-VLOOKUP($A90,[1]Hugst!$R$5:$W$9,MATCH(ROUNDUP((AD$1)/10,0)*10,[1]Hugst!$R$4:$W$4,0))))</f>
        <v>5280.4771667634168</v>
      </c>
      <c r="AE90">
        <f ca="1">IF($C90-AE$1&lt;År1,0,AD89*(1-VLOOKUP($A90,[1]Hugst!$R$5:$W$9,MATCH(ROUNDUP((AE$1)/10,0)*10,[1]Hugst!$R$4:$W$4,0))))</f>
        <v>5276.0499017121565</v>
      </c>
      <c r="AF90">
        <f ca="1">IF($C90-AF$1&lt;År1,0,AE89*(1-VLOOKUP($A90,[1]Hugst!$R$5:$W$9,MATCH(ROUNDUP((AF$1)/10,0)*10,[1]Hugst!$R$4:$W$4,0))))</f>
        <v>5271.6458921998437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55000000000000004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133.88553700037301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3430.5389202368347</v>
      </c>
      <c r="G91">
        <f ca="1">IF($C91-G$1&lt;År1,0,F90*(1-VLOOKUP($A91,[1]Hugst!$R$5:$W$9,MATCH(ROUNDUP((G$1)/10,0)*10,[1]Hugst!$R$4:$W$4,0))))</f>
        <v>3428.7245324077153</v>
      </c>
      <c r="H91">
        <f ca="1">IF($C91-H$1&lt;År1,0,G90*(1-VLOOKUP($A91,[1]Hugst!$R$5:$W$9,MATCH(ROUNDUP((H$1)/10,0)*10,[1]Hugst!$R$4:$W$4,0))))</f>
        <v>3426.9249834857178</v>
      </c>
      <c r="I91">
        <f ca="1">IF($C91-I$1&lt;År1,0,H90*(1-VLOOKUP($A91,[1]Hugst!$R$5:$W$9,MATCH(ROUNDUP((I$1)/10,0)*10,[1]Hugst!$R$4:$W$4,0))))</f>
        <v>3425.1403569285535</v>
      </c>
      <c r="J91">
        <f ca="1">IF($C91-J$1&lt;År1,0,I90*(1-VLOOKUP($A91,[1]Hugst!$R$5:$W$9,MATCH(ROUNDUP((J$1)/10,0)*10,[1]Hugst!$R$4:$W$4,0))))</f>
        <v>3423.3707365856276</v>
      </c>
      <c r="K91">
        <f ca="1">IF($C91-K$1&lt;År1,0,J90*(1-VLOOKUP($A91,[1]Hugst!$R$5:$W$9,MATCH(ROUNDUP((K$1)/10,0)*10,[1]Hugst!$R$4:$W$4,0))))</f>
        <v>3421.6162066997854</v>
      </c>
      <c r="L91">
        <f ca="1">IF($C91-L$1&lt;År1,0,K90*(1-VLOOKUP($A91,[1]Hugst!$R$5:$W$9,MATCH(ROUNDUP((L$1)/10,0)*10,[1]Hugst!$R$4:$W$4,0))))</f>
        <v>3419.8768519091204</v>
      </c>
      <c r="M91">
        <f ca="1">IF($C91-M$1&lt;År1,0,L90*(1-VLOOKUP($A91,[1]Hugst!$R$5:$W$9,MATCH(ROUNDUP((M$1)/10,0)*10,[1]Hugst!$R$4:$W$4,0))))</f>
        <v>3418.1527572490772</v>
      </c>
      <c r="N91">
        <f ca="1">IF($C91-N$1&lt;År1,0,M90*(1-VLOOKUP($A91,[1]Hugst!$R$5:$W$9,MATCH(ROUNDUP((N$1)/10,0)*10,[1]Hugst!$R$4:$W$4,0))))</f>
        <v>3413.3919719202563</v>
      </c>
      <c r="O91">
        <f ca="1">IF($C91-O$1&lt;År1,0,N90*(1-VLOOKUP($A91,[1]Hugst!$R$5:$W$9,MATCH(ROUNDUP((O$1)/10,0)*10,[1]Hugst!$R$4:$W$4,0))))</f>
        <v>3409.7772340318656</v>
      </c>
      <c r="P91">
        <f ca="1">IF($C91-P$1&lt;År1,0,O90*(1-VLOOKUP($A91,[1]Hugst!$R$5:$W$9,MATCH(ROUNDUP((P$1)/10,0)*10,[1]Hugst!$R$4:$W$4,0))))</f>
        <v>3400.9695854634551</v>
      </c>
      <c r="Q91">
        <f ca="1">IF($C91-Q$1&lt;År1,0,P90*(1-VLOOKUP($A91,[1]Hugst!$R$5:$W$9,MATCH(ROUNDUP((Q$1)/10,0)*10,[1]Hugst!$R$4:$W$4,0))))</f>
        <v>3392.1838462022215</v>
      </c>
      <c r="R91">
        <f ca="1">IF($C91-R$1&lt;År1,0,Q90*(1-VLOOKUP($A91,[1]Hugst!$R$5:$W$9,MATCH(ROUNDUP((R$1)/10,0)*10,[1]Hugst!$R$4:$W$4,0))))</f>
        <v>3383.4200124183758</v>
      </c>
      <c r="S91">
        <f ca="1">IF($C91-S$1&lt;År1,0,R90*(1-VLOOKUP($A91,[1]Hugst!$R$5:$W$9,MATCH(ROUNDUP((S$1)/10,0)*10,[1]Hugst!$R$4:$W$4,0))))</f>
        <v>3374.6780803912811</v>
      </c>
      <c r="T91">
        <f ca="1">IF($C91-T$1&lt;År1,0,S90*(1-VLOOKUP($A91,[1]Hugst!$R$5:$W$9,MATCH(ROUNDUP((T$1)/10,0)*10,[1]Hugst!$R$4:$W$4,0))))</f>
        <v>3365.9580465097706</v>
      </c>
      <c r="U91">
        <f ca="1">IF($C91-U$1&lt;År1,0,T90*(1-VLOOKUP($A91,[1]Hugst!$R$5:$W$9,MATCH(ROUNDUP((U$1)/10,0)*10,[1]Hugst!$R$4:$W$4,0))))</f>
        <v>3357.2599072721855</v>
      </c>
      <c r="V91">
        <f ca="1">IF($C91-V$1&lt;År1,0,U90*(1-VLOOKUP($A91,[1]Hugst!$R$5:$W$9,MATCH(ROUNDUP((V$1)/10,0)*10,[1]Hugst!$R$4:$W$4,0))))</f>
        <v>3348.583659286528</v>
      </c>
      <c r="W91">
        <f ca="1">IF($C91-W$1&lt;År1,0,V90*(1-VLOOKUP($A91,[1]Hugst!$R$5:$W$9,MATCH(ROUNDUP((W$1)/10,0)*10,[1]Hugst!$R$4:$W$4,0))))</f>
        <v>5313.4072902806074</v>
      </c>
      <c r="X91">
        <f ca="1">IF($C91-X$1&lt;År1,0,W90*(1-VLOOKUP($A91,[1]Hugst!$R$5:$W$9,MATCH(ROUNDUP((X$1)/10,0)*10,[1]Hugst!$R$4:$W$4,0))))</f>
        <v>5301.7644249075111</v>
      </c>
      <c r="Y91">
        <f ca="1">IF($C91-Y$1&lt;År1,0,X90*(1-VLOOKUP($A91,[1]Hugst!$R$5:$W$9,MATCH(ROUNDUP((Y$1)/10,0)*10,[1]Hugst!$R$4:$W$4,0))))</f>
        <v>5298.3078401519961</v>
      </c>
      <c r="Z91">
        <f ca="1">IF($C91-Z$1&lt;År1,0,Y90*(1-VLOOKUP($A91,[1]Hugst!$R$5:$W$9,MATCH(ROUNDUP((Z$1)/10,0)*10,[1]Hugst!$R$4:$W$4,0))))</f>
        <v>5293.7491903680584</v>
      </c>
      <c r="AA91">
        <f ca="1">IF($C91-AA$1&lt;År1,0,Z90*(1-VLOOKUP($A91,[1]Hugst!$R$5:$W$9,MATCH(ROUNDUP((AA$1)/10,0)*10,[1]Hugst!$R$4:$W$4,0))))</f>
        <v>5289.2136951284765</v>
      </c>
      <c r="AB91">
        <f ca="1">IF($C91-AB$1&lt;År1,0,AA90*(1-VLOOKUP($A91,[1]Hugst!$R$5:$W$9,MATCH(ROUNDUP((AB$1)/10,0)*10,[1]Hugst!$R$4:$W$4,0))))</f>
        <v>5284.7013641638687</v>
      </c>
      <c r="AC91">
        <f ca="1">IF($C91-AC$1&lt;År1,0,AB90*(1-VLOOKUP($A91,[1]Hugst!$R$5:$W$9,MATCH(ROUNDUP((AC$1)/10,0)*10,[1]Hugst!$R$4:$W$4,0))))</f>
        <v>5280.2122073517539</v>
      </c>
      <c r="AD91">
        <f ca="1">IF($C91-AD$1&lt;År1,0,AC90*(1-VLOOKUP($A91,[1]Hugst!$R$5:$W$9,MATCH(ROUNDUP((AD$1)/10,0)*10,[1]Hugst!$R$4:$W$4,0))))</f>
        <v>5275.746234716843</v>
      </c>
      <c r="AE91">
        <f ca="1">IF($C91-AE$1&lt;År1,0,AD90*(1-VLOOKUP($A91,[1]Hugst!$R$5:$W$9,MATCH(ROUNDUP((AE$1)/10,0)*10,[1]Hugst!$R$4:$W$4,0))))</f>
        <v>5271.3034564313275</v>
      </c>
      <c r="AF91">
        <f ca="1">IF($C91-AF$1&lt;År1,0,AE90*(1-VLOOKUP($A91,[1]Hugst!$R$5:$W$9,MATCH(ROUNDUP((AF$1)/10,0)*10,[1]Hugst!$R$4:$W$4,0))))</f>
        <v>5266.8838828151138</v>
      </c>
      <c r="AG91">
        <f ca="1">IF($C91-AG$1&lt;År1,0,AF90*(1-VLOOKUP($A91,[1]Hugst!$R$5:$W$9,MATCH(ROUNDUP((AG$1)/10,0)*10,[1]Hugst!$R$4:$W$4,0))))</f>
        <v>5262.4875243362758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55000000000000004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139.9896142516227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3432.3680639052614</v>
      </c>
      <c r="G92">
        <f ca="1">IF($C92-G$1&lt;År1,0,F91*(1-VLOOKUP($A92,[1]Hugst!$R$5:$W$9,MATCH(ROUNDUP((G$1)/10,0)*10,[1]Hugst!$R$4:$W$4,0))))</f>
        <v>3430.5389202368347</v>
      </c>
      <c r="H92">
        <f ca="1">IF($C92-H$1&lt;År1,0,G91*(1-VLOOKUP($A92,[1]Hugst!$R$5:$W$9,MATCH(ROUNDUP((H$1)/10,0)*10,[1]Hugst!$R$4:$W$4,0))))</f>
        <v>3428.7245324077153</v>
      </c>
      <c r="I92">
        <f ca="1">IF($C92-I$1&lt;År1,0,H91*(1-VLOOKUP($A92,[1]Hugst!$R$5:$W$9,MATCH(ROUNDUP((I$1)/10,0)*10,[1]Hugst!$R$4:$W$4,0))))</f>
        <v>3426.9249834857178</v>
      </c>
      <c r="J92">
        <f ca="1">IF($C92-J$1&lt;År1,0,I91*(1-VLOOKUP($A92,[1]Hugst!$R$5:$W$9,MATCH(ROUNDUP((J$1)/10,0)*10,[1]Hugst!$R$4:$W$4,0))))</f>
        <v>3425.1403569285535</v>
      </c>
      <c r="K92">
        <f ca="1">IF($C92-K$1&lt;År1,0,J91*(1-VLOOKUP($A92,[1]Hugst!$R$5:$W$9,MATCH(ROUNDUP((K$1)/10,0)*10,[1]Hugst!$R$4:$W$4,0))))</f>
        <v>3423.3707365856276</v>
      </c>
      <c r="L92">
        <f ca="1">IF($C92-L$1&lt;År1,0,K91*(1-VLOOKUP($A92,[1]Hugst!$R$5:$W$9,MATCH(ROUNDUP((L$1)/10,0)*10,[1]Hugst!$R$4:$W$4,0))))</f>
        <v>3421.6162066997854</v>
      </c>
      <c r="M92">
        <f ca="1">IF($C92-M$1&lt;År1,0,L91*(1-VLOOKUP($A92,[1]Hugst!$R$5:$W$9,MATCH(ROUNDUP((M$1)/10,0)*10,[1]Hugst!$R$4:$W$4,0))))</f>
        <v>3419.8768519091204</v>
      </c>
      <c r="N92">
        <f ca="1">IF($C92-N$1&lt;År1,0,M91*(1-VLOOKUP($A92,[1]Hugst!$R$5:$W$9,MATCH(ROUNDUP((N$1)/10,0)*10,[1]Hugst!$R$4:$W$4,0))))</f>
        <v>3418.1527572490772</v>
      </c>
      <c r="O92">
        <f ca="1">IF($C92-O$1&lt;År1,0,N91*(1-VLOOKUP($A92,[1]Hugst!$R$5:$W$9,MATCH(ROUNDUP((O$1)/10,0)*10,[1]Hugst!$R$4:$W$4,0))))</f>
        <v>3413.3919719202563</v>
      </c>
      <c r="P92">
        <f ca="1">IF($C92-P$1&lt;År1,0,O91*(1-VLOOKUP($A92,[1]Hugst!$R$5:$W$9,MATCH(ROUNDUP((P$1)/10,0)*10,[1]Hugst!$R$4:$W$4,0))))</f>
        <v>3404.5758789291049</v>
      </c>
      <c r="Q92">
        <f ca="1">IF($C92-Q$1&lt;År1,0,P91*(1-VLOOKUP($A92,[1]Hugst!$R$5:$W$9,MATCH(ROUNDUP((Q$1)/10,0)*10,[1]Hugst!$R$4:$W$4,0))))</f>
        <v>3395.781665756816</v>
      </c>
      <c r="R92">
        <f ca="1">IF($C92-R$1&lt;År1,0,Q91*(1-VLOOKUP($A92,[1]Hugst!$R$5:$W$9,MATCH(ROUNDUP((R$1)/10,0)*10,[1]Hugst!$R$4:$W$4,0))))</f>
        <v>3387.0093284707264</v>
      </c>
      <c r="S92">
        <f ca="1">IF($C92-S$1&lt;År1,0,R91*(1-VLOOKUP($A92,[1]Hugst!$R$5:$W$9,MATCH(ROUNDUP((S$1)/10,0)*10,[1]Hugst!$R$4:$W$4,0))))</f>
        <v>3378.2588632468901</v>
      </c>
      <c r="T92">
        <f ca="1">IF($C92-T$1&lt;År1,0,S91*(1-VLOOKUP($A92,[1]Hugst!$R$5:$W$9,MATCH(ROUNDUP((T$1)/10,0)*10,[1]Hugst!$R$4:$W$4,0))))</f>
        <v>3369.5302663703451</v>
      </c>
      <c r="U92">
        <f ca="1">IF($C92-U$1&lt;År1,0,T91*(1-VLOOKUP($A92,[1]Hugst!$R$5:$W$9,MATCH(ROUNDUP((U$1)/10,0)*10,[1]Hugst!$R$4:$W$4,0))))</f>
        <v>3360.8235342354337</v>
      </c>
      <c r="V92">
        <f ca="1">IF($C92-V$1&lt;År1,0,U91*(1-VLOOKUP($A92,[1]Hugst!$R$5:$W$9,MATCH(ROUNDUP((V$1)/10,0)*10,[1]Hugst!$R$4:$W$4,0))))</f>
        <v>3352.1386633458378</v>
      </c>
      <c r="W92">
        <f ca="1">IF($C92-W$1&lt;År1,0,V91*(1-VLOOKUP($A92,[1]Hugst!$R$5:$W$9,MATCH(ROUNDUP((W$1)/10,0)*10,[1]Hugst!$R$4:$W$4,0))))</f>
        <v>3343.475650314735</v>
      </c>
      <c r="X92">
        <f ca="1">IF($C92-X$1&lt;År1,0,W91*(1-VLOOKUP($A92,[1]Hugst!$R$5:$W$9,MATCH(ROUNDUP((X$1)/10,0)*10,[1]Hugst!$R$4:$W$4,0))))</f>
        <v>5305.3020927191619</v>
      </c>
      <c r="Y92">
        <f ca="1">IF($C92-Y$1&lt;År1,0,X91*(1-VLOOKUP($A92,[1]Hugst!$R$5:$W$9,MATCH(ROUNDUP((Y$1)/10,0)*10,[1]Hugst!$R$4:$W$4,0))))</f>
        <v>5293.6769876491771</v>
      </c>
      <c r="Z92">
        <f ca="1">IF($C92-Z$1&lt;År1,0,Y91*(1-VLOOKUP($A92,[1]Hugst!$R$5:$W$9,MATCH(ROUNDUP((Z$1)/10,0)*10,[1]Hugst!$R$4:$W$4,0))))</f>
        <v>5289.1031528025796</v>
      </c>
      <c r="AA92">
        <f ca="1">IF($C92-AA$1&lt;År1,0,Z91*(1-VLOOKUP($A92,[1]Hugst!$R$5:$W$9,MATCH(ROUNDUP((AA$1)/10,0)*10,[1]Hugst!$R$4:$W$4,0))))</f>
        <v>5284.5524227068254</v>
      </c>
      <c r="AB92">
        <f ca="1">IF($C92-AB$1&lt;År1,0,AA91*(1-VLOOKUP($A92,[1]Hugst!$R$5:$W$9,MATCH(ROUNDUP((AB$1)/10,0)*10,[1]Hugst!$R$4:$W$4,0))))</f>
        <v>5280.024806929312</v>
      </c>
      <c r="AC92">
        <f ca="1">IF($C92-AC$1&lt;År1,0,AB91*(1-VLOOKUP($A92,[1]Hugst!$R$5:$W$9,MATCH(ROUNDUP((AC$1)/10,0)*10,[1]Hugst!$R$4:$W$4,0))))</f>
        <v>5275.5203151837532</v>
      </c>
      <c r="AD92">
        <f ca="1">IF($C92-AD$1&lt;År1,0,AC91*(1-VLOOKUP($A92,[1]Hugst!$R$5:$W$9,MATCH(ROUNDUP((AD$1)/10,0)*10,[1]Hugst!$R$4:$W$4,0))))</f>
        <v>5271.0389573305074</v>
      </c>
      <c r="AE92">
        <f ca="1">IF($C92-AE$1&lt;År1,0,AD91*(1-VLOOKUP($A92,[1]Hugst!$R$5:$W$9,MATCH(ROUNDUP((AE$1)/10,0)*10,[1]Hugst!$R$4:$W$4,0))))</f>
        <v>5266.5807433768687</v>
      </c>
      <c r="AF92">
        <f ca="1">IF($C92-AF$1&lt;År1,0,AE91*(1-VLOOKUP($A92,[1]Hugst!$R$5:$W$9,MATCH(ROUNDUP((AF$1)/10,0)*10,[1]Hugst!$R$4:$W$4,0))))</f>
        <v>5262.145683477358</v>
      </c>
      <c r="AG92">
        <f ca="1">IF($C92-AG$1&lt;År1,0,AF91*(1-VLOOKUP($A92,[1]Hugst!$R$5:$W$9,MATCH(ROUNDUP((AG$1)/10,0)*10,[1]Hugst!$R$4:$W$4,0))))</f>
        <v>5257.733787933952</v>
      </c>
      <c r="AH92">
        <f ca="1">IF($C92-AH$1&lt;År1,0,AG91*(1-VLOOKUP($A92,[1]Hugst!$R$5:$W$9,MATCH(ROUNDUP((AH$1)/10,0)*10,[1]Hugst!$R$4:$W$4,0))))</f>
        <v>5253.3450671965384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55000000000000004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146.08698999402986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3434.2118807327383</v>
      </c>
      <c r="G93">
        <f ca="1">IF($C93-G$1&lt;År1,0,F92*(1-VLOOKUP($A93,[1]Hugst!$R$5:$W$9,MATCH(ROUNDUP((G$1)/10,0)*10,[1]Hugst!$R$4:$W$4,0))))</f>
        <v>3432.3680639052614</v>
      </c>
      <c r="H93">
        <f ca="1">IF($C93-H$1&lt;År1,0,G92*(1-VLOOKUP($A93,[1]Hugst!$R$5:$W$9,MATCH(ROUNDUP((H$1)/10,0)*10,[1]Hugst!$R$4:$W$4,0))))</f>
        <v>3430.5389202368347</v>
      </c>
      <c r="I93">
        <f ca="1">IF($C93-I$1&lt;År1,0,H92*(1-VLOOKUP($A93,[1]Hugst!$R$5:$W$9,MATCH(ROUNDUP((I$1)/10,0)*10,[1]Hugst!$R$4:$W$4,0))))</f>
        <v>3428.7245324077153</v>
      </c>
      <c r="J93">
        <f ca="1">IF($C93-J$1&lt;År1,0,I92*(1-VLOOKUP($A93,[1]Hugst!$R$5:$W$9,MATCH(ROUNDUP((J$1)/10,0)*10,[1]Hugst!$R$4:$W$4,0))))</f>
        <v>3426.9249834857178</v>
      </c>
      <c r="K93">
        <f ca="1">IF($C93-K$1&lt;År1,0,J92*(1-VLOOKUP($A93,[1]Hugst!$R$5:$W$9,MATCH(ROUNDUP((K$1)/10,0)*10,[1]Hugst!$R$4:$W$4,0))))</f>
        <v>3425.1403569285535</v>
      </c>
      <c r="L93">
        <f ca="1">IF($C93-L$1&lt;År1,0,K92*(1-VLOOKUP($A93,[1]Hugst!$R$5:$W$9,MATCH(ROUNDUP((L$1)/10,0)*10,[1]Hugst!$R$4:$W$4,0))))</f>
        <v>3423.3707365856276</v>
      </c>
      <c r="M93">
        <f ca="1">IF($C93-M$1&lt;År1,0,L92*(1-VLOOKUP($A93,[1]Hugst!$R$5:$W$9,MATCH(ROUNDUP((M$1)/10,0)*10,[1]Hugst!$R$4:$W$4,0))))</f>
        <v>3421.6162066997854</v>
      </c>
      <c r="N93">
        <f ca="1">IF($C93-N$1&lt;År1,0,M92*(1-VLOOKUP($A93,[1]Hugst!$R$5:$W$9,MATCH(ROUNDUP((N$1)/10,0)*10,[1]Hugst!$R$4:$W$4,0))))</f>
        <v>3419.8768519091204</v>
      </c>
      <c r="O93">
        <f ca="1">IF($C93-O$1&lt;År1,0,N92*(1-VLOOKUP($A93,[1]Hugst!$R$5:$W$9,MATCH(ROUNDUP((O$1)/10,0)*10,[1]Hugst!$R$4:$W$4,0))))</f>
        <v>3418.1527572490772</v>
      </c>
      <c r="P93">
        <f ca="1">IF($C93-P$1&lt;År1,0,O92*(1-VLOOKUP($A93,[1]Hugst!$R$5:$W$9,MATCH(ROUNDUP((P$1)/10,0)*10,[1]Hugst!$R$4:$W$4,0))))</f>
        <v>3408.1851028105475</v>
      </c>
      <c r="Q93">
        <f ca="1">IF($C93-Q$1&lt;År1,0,P92*(1-VLOOKUP($A93,[1]Hugst!$R$5:$W$9,MATCH(ROUNDUP((Q$1)/10,0)*10,[1]Hugst!$R$4:$W$4,0))))</f>
        <v>3399.3824580968399</v>
      </c>
      <c r="R93">
        <f ca="1">IF($C93-R$1&lt;År1,0,Q92*(1-VLOOKUP($A93,[1]Hugst!$R$5:$W$9,MATCH(ROUNDUP((R$1)/10,0)*10,[1]Hugst!$R$4:$W$4,0))))</f>
        <v>3390.6016598260003</v>
      </c>
      <c r="S93">
        <f ca="1">IF($C93-S$1&lt;År1,0,R92*(1-VLOOKUP($A93,[1]Hugst!$R$5:$W$9,MATCH(ROUNDUP((S$1)/10,0)*10,[1]Hugst!$R$4:$W$4,0))))</f>
        <v>3381.8427040713641</v>
      </c>
      <c r="T93">
        <f ca="1">IF($C93-T$1&lt;År1,0,S92*(1-VLOOKUP($A93,[1]Hugst!$R$5:$W$9,MATCH(ROUNDUP((T$1)/10,0)*10,[1]Hugst!$R$4:$W$4,0))))</f>
        <v>3373.1055870148184</v>
      </c>
      <c r="U93">
        <f ca="1">IF($C93-U$1&lt;År1,0,T92*(1-VLOOKUP($A93,[1]Hugst!$R$5:$W$9,MATCH(ROUNDUP((U$1)/10,0)*10,[1]Hugst!$R$4:$W$4,0))))</f>
        <v>3364.3903049470682</v>
      </c>
      <c r="V93">
        <f ca="1">IF($C93-V$1&lt;År1,0,U92*(1-VLOOKUP($A93,[1]Hugst!$R$5:$W$9,MATCH(ROUNDUP((V$1)/10,0)*10,[1]Hugst!$R$4:$W$4,0))))</f>
        <v>3355.696854267956</v>
      </c>
      <c r="W93">
        <f ca="1">IF($C93-W$1&lt;År1,0,V92*(1-VLOOKUP($A93,[1]Hugst!$R$5:$W$9,MATCH(ROUNDUP((W$1)/10,0)*10,[1]Hugst!$R$4:$W$4,0))))</f>
        <v>3347.0252314864965</v>
      </c>
      <c r="X93">
        <f ca="1">IF($C93-X$1&lt;År1,0,W92*(1-VLOOKUP($A93,[1]Hugst!$R$5:$W$9,MATCH(ROUNDUP((X$1)/10,0)*10,[1]Hugst!$R$4:$W$4,0))))</f>
        <v>3338.3754332210347</v>
      </c>
      <c r="Y93">
        <f ca="1">IF($C93-Y$1&lt;År1,0,X92*(1-VLOOKUP($A93,[1]Hugst!$R$5:$W$9,MATCH(ROUNDUP((Y$1)/10,0)*10,[1]Hugst!$R$4:$W$4,0))))</f>
        <v>5297.2092590184038</v>
      </c>
      <c r="Z93">
        <f ca="1">IF($C93-Z$1&lt;År1,0,Y92*(1-VLOOKUP($A93,[1]Hugst!$R$5:$W$9,MATCH(ROUNDUP((Z$1)/10,0)*10,[1]Hugst!$R$4:$W$4,0))))</f>
        <v>5284.4803454248713</v>
      </c>
      <c r="AA93">
        <f ca="1">IF($C93-AA$1&lt;År1,0,Z92*(1-VLOOKUP($A93,[1]Hugst!$R$5:$W$9,MATCH(ROUNDUP((AA$1)/10,0)*10,[1]Hugst!$R$4:$W$4,0))))</f>
        <v>5279.9144566472869</v>
      </c>
      <c r="AB93">
        <f ca="1">IF($C93-AB$1&lt;År1,0,AA92*(1-VLOOKUP($A93,[1]Hugst!$R$5:$W$9,MATCH(ROUNDUP((AB$1)/10,0)*10,[1]Hugst!$R$4:$W$4,0))))</f>
        <v>5275.3716324809366</v>
      </c>
      <c r="AC93">
        <f ca="1">IF($C93-AC$1&lt;År1,0,AB92*(1-VLOOKUP($A93,[1]Hugst!$R$5:$W$9,MATCH(ROUNDUP((AC$1)/10,0)*10,[1]Hugst!$R$4:$W$4,0))))</f>
        <v>5270.8518824765961</v>
      </c>
      <c r="AD93">
        <f ca="1">IF($C93-AD$1&lt;År1,0,AC92*(1-VLOOKUP($A93,[1]Hugst!$R$5:$W$9,MATCH(ROUNDUP((AD$1)/10,0)*10,[1]Hugst!$R$4:$W$4,0))))</f>
        <v>5266.3552163311033</v>
      </c>
      <c r="AE93">
        <f ca="1">IF($C93-AE$1&lt;År1,0,AD92*(1-VLOOKUP($A93,[1]Hugst!$R$5:$W$9,MATCH(ROUNDUP((AE$1)/10,0)*10,[1]Hugst!$R$4:$W$4,0))))</f>
        <v>5261.8816438876875</v>
      </c>
      <c r="AF93">
        <f ca="1">IF($C93-AF$1&lt;År1,0,AE92*(1-VLOOKUP($A93,[1]Hugst!$R$5:$W$9,MATCH(ROUNDUP((AF$1)/10,0)*10,[1]Hugst!$R$4:$W$4,0))))</f>
        <v>5257.4311751362557</v>
      </c>
      <c r="AG93">
        <f ca="1">IF($C93-AG$1&lt;År1,0,AF92*(1-VLOOKUP($A93,[1]Hugst!$R$5:$W$9,MATCH(ROUNDUP((AG$1)/10,0)*10,[1]Hugst!$R$4:$W$4,0))))</f>
        <v>5253.0038202136893</v>
      </c>
      <c r="AH93">
        <f ca="1">IF($C93-AH$1&lt;År1,0,AG92*(1-VLOOKUP($A93,[1]Hugst!$R$5:$W$9,MATCH(ROUNDUP((AH$1)/10,0)*10,[1]Hugst!$R$4:$W$4,0))))</f>
        <v>5248.5995894040661</v>
      </c>
      <c r="AI93">
        <f ca="1">IF($C93-AI$1&lt;År1,0,AH92*(1-VLOOKUP($A93,[1]Hugst!$R$5:$W$9,MATCH(ROUNDUP((AI$1)/10,0)*10,[1]Hugst!$R$4:$W$4,0))))</f>
        <v>5244.2184931391203</v>
      </c>
      <c r="AJ93">
        <f>IF($C93-AJ$1&lt;År1,0,AI92*(1-VLOOKUP($A93,[1]Hugst!$R$5:$W$9,MATCH(ROUNDUP((AJ$1)/10,0)*10,[1]Hugst!$R$4:$W$4,0))))</f>
        <v>0</v>
      </c>
    </row>
    <row r="94" spans="1:38" x14ac:dyDescent="0.55000000000000004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147.73690421888023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3431.6295038372405</v>
      </c>
      <c r="G94">
        <f ca="1">IF($C94-G$1&lt;År1,0,F93*(1-VLOOKUP($A94,[1]Hugst!$R$5:$W$9,MATCH(ROUNDUP((G$1)/10,0)*10,[1]Hugst!$R$4:$W$4,0))))</f>
        <v>3434.2118807327383</v>
      </c>
      <c r="H94">
        <f ca="1">IF($C94-H$1&lt;År1,0,G93*(1-VLOOKUP($A94,[1]Hugst!$R$5:$W$9,MATCH(ROUNDUP((H$1)/10,0)*10,[1]Hugst!$R$4:$W$4,0))))</f>
        <v>3432.3680639052614</v>
      </c>
      <c r="I94">
        <f ca="1">IF($C94-I$1&lt;År1,0,H93*(1-VLOOKUP($A94,[1]Hugst!$R$5:$W$9,MATCH(ROUNDUP((I$1)/10,0)*10,[1]Hugst!$R$4:$W$4,0))))</f>
        <v>3430.5389202368347</v>
      </c>
      <c r="J94">
        <f ca="1">IF($C94-J$1&lt;År1,0,I93*(1-VLOOKUP($A94,[1]Hugst!$R$5:$W$9,MATCH(ROUNDUP((J$1)/10,0)*10,[1]Hugst!$R$4:$W$4,0))))</f>
        <v>3428.7245324077153</v>
      </c>
      <c r="K94">
        <f ca="1">IF($C94-K$1&lt;År1,0,J93*(1-VLOOKUP($A94,[1]Hugst!$R$5:$W$9,MATCH(ROUNDUP((K$1)/10,0)*10,[1]Hugst!$R$4:$W$4,0))))</f>
        <v>3426.9249834857178</v>
      </c>
      <c r="L94">
        <f ca="1">IF($C94-L$1&lt;År1,0,K93*(1-VLOOKUP($A94,[1]Hugst!$R$5:$W$9,MATCH(ROUNDUP((L$1)/10,0)*10,[1]Hugst!$R$4:$W$4,0))))</f>
        <v>3425.1403569285535</v>
      </c>
      <c r="M94">
        <f ca="1">IF($C94-M$1&lt;År1,0,L93*(1-VLOOKUP($A94,[1]Hugst!$R$5:$W$9,MATCH(ROUNDUP((M$1)/10,0)*10,[1]Hugst!$R$4:$W$4,0))))</f>
        <v>3423.3707365856276</v>
      </c>
      <c r="N94">
        <f ca="1">IF($C94-N$1&lt;År1,0,M93*(1-VLOOKUP($A94,[1]Hugst!$R$5:$W$9,MATCH(ROUNDUP((N$1)/10,0)*10,[1]Hugst!$R$4:$W$4,0))))</f>
        <v>3421.6162066997854</v>
      </c>
      <c r="O94">
        <f ca="1">IF($C94-O$1&lt;År1,0,N93*(1-VLOOKUP($A94,[1]Hugst!$R$5:$W$9,MATCH(ROUNDUP((O$1)/10,0)*10,[1]Hugst!$R$4:$W$4,0))))</f>
        <v>3419.8768519091204</v>
      </c>
      <c r="P94">
        <f ca="1">IF($C94-P$1&lt;År1,0,O93*(1-VLOOKUP($A94,[1]Hugst!$R$5:$W$9,MATCH(ROUNDUP((P$1)/10,0)*10,[1]Hugst!$R$4:$W$4,0))))</f>
        <v>3412.9386259244598</v>
      </c>
      <c r="Q94">
        <f ca="1">IF($C94-Q$1&lt;År1,0,P93*(1-VLOOKUP($A94,[1]Hugst!$R$5:$W$9,MATCH(ROUNDUP((Q$1)/10,0)*10,[1]Hugst!$R$4:$W$4,0))))</f>
        <v>3402.9861763825311</v>
      </c>
      <c r="R94">
        <f ca="1">IF($C94-R$1&lt;År1,0,Q93*(1-VLOOKUP($A94,[1]Hugst!$R$5:$W$9,MATCH(ROUNDUP((R$1)/10,0)*10,[1]Hugst!$R$4:$W$4,0))))</f>
        <v>3394.1969594319462</v>
      </c>
      <c r="S94">
        <f ca="1">IF($C94-S$1&lt;År1,0,R93*(1-VLOOKUP($A94,[1]Hugst!$R$5:$W$9,MATCH(ROUNDUP((S$1)/10,0)*10,[1]Hugst!$R$4:$W$4,0))))</f>
        <v>3385.4295555991471</v>
      </c>
      <c r="T94">
        <f ca="1">IF($C94-T$1&lt;År1,0,S93*(1-VLOOKUP($A94,[1]Hugst!$R$5:$W$9,MATCH(ROUNDUP((T$1)/10,0)*10,[1]Hugst!$R$4:$W$4,0))))</f>
        <v>3376.6839609634585</v>
      </c>
      <c r="U94">
        <f ca="1">IF($C94-U$1&lt;År1,0,T93*(1-VLOOKUP($A94,[1]Hugst!$R$5:$W$9,MATCH(ROUNDUP((U$1)/10,0)*10,[1]Hugst!$R$4:$W$4,0))))</f>
        <v>3367.9601717125925</v>
      </c>
      <c r="V94">
        <f ca="1">IF($C94-V$1&lt;År1,0,U93*(1-VLOOKUP($A94,[1]Hugst!$R$5:$W$9,MATCH(ROUNDUP((V$1)/10,0)*10,[1]Hugst!$R$4:$W$4,0))))</f>
        <v>3359.2581841429114</v>
      </c>
      <c r="W94">
        <f ca="1">IF($C94-W$1&lt;År1,0,V93*(1-VLOOKUP($A94,[1]Hugst!$R$5:$W$9,MATCH(ROUNDUP((W$1)/10,0)*10,[1]Hugst!$R$4:$W$4,0))))</f>
        <v>3350.5779946597504</v>
      </c>
      <c r="X94">
        <f ca="1">IF($C94-X$1&lt;År1,0,W93*(1-VLOOKUP($A94,[1]Hugst!$R$5:$W$9,MATCH(ROUNDUP((X$1)/10,0)*10,[1]Hugst!$R$4:$W$4,0))))</f>
        <v>3341.9195997774491</v>
      </c>
      <c r="Y94">
        <f ca="1">IF($C94-Y$1&lt;År1,0,X93*(1-VLOOKUP($A94,[1]Hugst!$R$5:$W$9,MATCH(ROUNDUP((Y$1)/10,0)*10,[1]Hugst!$R$4:$W$4,0))))</f>
        <v>3333.2829961195112</v>
      </c>
      <c r="Z94">
        <f ca="1">IF($C94-Z$1&lt;År1,0,Y93*(1-VLOOKUP($A94,[1]Hugst!$R$5:$W$9,MATCH(ROUNDUP((Z$1)/10,0)*10,[1]Hugst!$R$4:$W$4,0))))</f>
        <v>5288.0064802209563</v>
      </c>
      <c r="AA94">
        <f ca="1">IF($C94-AA$1&lt;År1,0,Z93*(1-VLOOKUP($A94,[1]Hugst!$R$5:$W$9,MATCH(ROUNDUP((AA$1)/10,0)*10,[1]Hugst!$R$4:$W$4,0))))</f>
        <v>5275.2996804179893</v>
      </c>
      <c r="AB94">
        <f ca="1">IF($C94-AB$1&lt;År1,0,AA93*(1-VLOOKUP($A94,[1]Hugst!$R$5:$W$9,MATCH(ROUNDUP((AB$1)/10,0)*10,[1]Hugst!$R$4:$W$4,0))))</f>
        <v>5270.7417239048063</v>
      </c>
      <c r="AC94">
        <f ca="1">IF($C94-AC$1&lt;År1,0,AB93*(1-VLOOKUP($A94,[1]Hugst!$R$5:$W$9,MATCH(ROUNDUP((AC$1)/10,0)*10,[1]Hugst!$R$4:$W$4,0))))</f>
        <v>5266.206791932982</v>
      </c>
      <c r="AD94">
        <f ca="1">IF($C94-AD$1&lt;År1,0,AC93*(1-VLOOKUP($A94,[1]Hugst!$R$5:$W$9,MATCH(ROUNDUP((AD$1)/10,0)*10,[1]Hugst!$R$4:$W$4,0))))</f>
        <v>5261.6948940367001</v>
      </c>
      <c r="AE94">
        <f ca="1">IF($C94-AE$1&lt;År1,0,AD93*(1-VLOOKUP($A94,[1]Hugst!$R$5:$W$9,MATCH(ROUNDUP((AE$1)/10,0)*10,[1]Hugst!$R$4:$W$4,0))))</f>
        <v>5257.206039895952</v>
      </c>
      <c r="AF94">
        <f ca="1">IF($C94-AF$1&lt;År1,0,AE93*(1-VLOOKUP($A94,[1]Hugst!$R$5:$W$9,MATCH(ROUNDUP((AF$1)/10,0)*10,[1]Hugst!$R$4:$W$4,0))))</f>
        <v>5252.7402393368657</v>
      </c>
      <c r="AG94">
        <f ca="1">IF($C94-AG$1&lt;År1,0,AF93*(1-VLOOKUP($A94,[1]Hugst!$R$5:$W$9,MATCH(ROUNDUP((AG$1)/10,0)*10,[1]Hugst!$R$4:$W$4,0))))</f>
        <v>5248.2975023319932</v>
      </c>
      <c r="AH94">
        <f ca="1">IF($C94-AH$1&lt;År1,0,AG93*(1-VLOOKUP($A94,[1]Hugst!$R$5:$W$9,MATCH(ROUNDUP((AH$1)/10,0)*10,[1]Hugst!$R$4:$W$4,0))))</f>
        <v>5243.8778390006064</v>
      </c>
      <c r="AI94">
        <f ca="1">IF($C94-AI$1&lt;År1,0,AH93*(1-VLOOKUP($A94,[1]Hugst!$R$5:$W$9,MATCH(ROUNDUP((AI$1)/10,0)*10,[1]Hugst!$R$4:$W$4,0))))</f>
        <v>5239.481259608915</v>
      </c>
      <c r="AJ94">
        <f ca="1">IF($C94-AJ$1&lt;År1,0,AI93*(1-VLOOKUP($A94,[1]Hugst!$R$5:$W$9,MATCH(ROUNDUP((AJ$1)/10,0)*10,[1]Hugst!$R$4:$W$4,0))))</f>
        <v>5239.5520275308181</v>
      </c>
      <c r="AL94">
        <f ca="1">SUM(F94:AJ94)</f>
        <v>125842.74073966093</v>
      </c>
    </row>
    <row r="95" spans="1:38" x14ac:dyDescent="0.55000000000000004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960.76975059052859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55000000000000004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959.33711395878777</v>
      </c>
      <c r="G96">
        <f ca="1">IF($C96-G$1&lt;År1,0,F95*(1-VLOOKUP($A96,[1]Hugst!$R$5:$W$9,MATCH(ROUNDUP((G$1)/10,0)*10,[1]Hugst!$R$4:$W$4,0))))</f>
        <v>960.76975059052859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55000000000000004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957.91164051020678</v>
      </c>
      <c r="G97">
        <f ca="1">IF($C97-G$1&lt;År1,0,F96*(1-VLOOKUP($A97,[1]Hugst!$R$5:$W$9,MATCH(ROUNDUP((G$1)/10,0)*10,[1]Hugst!$R$4:$W$4,0))))</f>
        <v>959.33711395878777</v>
      </c>
      <c r="H97">
        <f ca="1">IF($C97-H$1&lt;År1,0,G96*(1-VLOOKUP($A97,[1]Hugst!$R$5:$W$9,MATCH(ROUNDUP((H$1)/10,0)*10,[1]Hugst!$R$4:$W$4,0))))</f>
        <v>960.76975059052859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55000000000000004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956.49329442886085</v>
      </c>
      <c r="G98">
        <f ca="1">IF($C98-G$1&lt;År1,0,F97*(1-VLOOKUP($A98,[1]Hugst!$R$5:$W$9,MATCH(ROUNDUP((G$1)/10,0)*10,[1]Hugst!$R$4:$W$4,0))))</f>
        <v>957.91164051020678</v>
      </c>
      <c r="H98">
        <f ca="1">IF($C98-H$1&lt;År1,0,G97*(1-VLOOKUP($A98,[1]Hugst!$R$5:$W$9,MATCH(ROUNDUP((H$1)/10,0)*10,[1]Hugst!$R$4:$W$4,0))))</f>
        <v>959.33711395878777</v>
      </c>
      <c r="I98">
        <f ca="1">IF($C98-I$1&lt;År1,0,H97*(1-VLOOKUP($A98,[1]Hugst!$R$5:$W$9,MATCH(ROUNDUP((I$1)/10,0)*10,[1]Hugst!$R$4:$W$4,0))))</f>
        <v>960.76975059052859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55000000000000004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955.0820400779362</v>
      </c>
      <c r="G99">
        <f ca="1">IF($C99-G$1&lt;År1,0,F98*(1-VLOOKUP($A99,[1]Hugst!$R$5:$W$9,MATCH(ROUNDUP((G$1)/10,0)*10,[1]Hugst!$R$4:$W$4,0))))</f>
        <v>956.49329442886085</v>
      </c>
      <c r="H99">
        <f ca="1">IF($C99-H$1&lt;År1,0,G98*(1-VLOOKUP($A99,[1]Hugst!$R$5:$W$9,MATCH(ROUNDUP((H$1)/10,0)*10,[1]Hugst!$R$4:$W$4,0))))</f>
        <v>957.91164051020678</v>
      </c>
      <c r="I99">
        <f ca="1">IF($C99-I$1&lt;År1,0,H98*(1-VLOOKUP($A99,[1]Hugst!$R$5:$W$9,MATCH(ROUNDUP((I$1)/10,0)*10,[1]Hugst!$R$4:$W$4,0))))</f>
        <v>959.33711395878777</v>
      </c>
      <c r="J99">
        <f ca="1">IF($C99-J$1&lt;År1,0,I98*(1-VLOOKUP($A99,[1]Hugst!$R$5:$W$9,MATCH(ROUNDUP((J$1)/10,0)*10,[1]Hugst!$R$4:$W$4,0))))</f>
        <v>960.76975059052859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55000000000000004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953.67784199875382</v>
      </c>
      <c r="G100">
        <f ca="1">IF($C100-G$1&lt;År1,0,F99*(1-VLOOKUP($A100,[1]Hugst!$R$5:$W$9,MATCH(ROUNDUP((G$1)/10,0)*10,[1]Hugst!$R$4:$W$4,0))))</f>
        <v>955.0820400779362</v>
      </c>
      <c r="H100">
        <f ca="1">IF($C100-H$1&lt;År1,0,G99*(1-VLOOKUP($A100,[1]Hugst!$R$5:$W$9,MATCH(ROUNDUP((H$1)/10,0)*10,[1]Hugst!$R$4:$W$4,0))))</f>
        <v>956.49329442886085</v>
      </c>
      <c r="I100">
        <f ca="1">IF($C100-I$1&lt;År1,0,H99*(1-VLOOKUP($A100,[1]Hugst!$R$5:$W$9,MATCH(ROUNDUP((I$1)/10,0)*10,[1]Hugst!$R$4:$W$4,0))))</f>
        <v>957.91164051020678</v>
      </c>
      <c r="J100">
        <f ca="1">IF($C100-J$1&lt;År1,0,I99*(1-VLOOKUP($A100,[1]Hugst!$R$5:$W$9,MATCH(ROUNDUP((J$1)/10,0)*10,[1]Hugst!$R$4:$W$4,0))))</f>
        <v>959.33711395878777</v>
      </c>
      <c r="K100">
        <f ca="1">IF($C100-K$1&lt;År1,0,J99*(1-VLOOKUP($A100,[1]Hugst!$R$5:$W$9,MATCH(ROUNDUP((K$1)/10,0)*10,[1]Hugst!$R$4:$W$4,0))))</f>
        <v>960.76975059052859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55000000000000004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952.28066490998458</v>
      </c>
      <c r="G101">
        <f ca="1">IF($C101-G$1&lt;År1,0,F100*(1-VLOOKUP($A101,[1]Hugst!$R$5:$W$9,MATCH(ROUNDUP((G$1)/10,0)*10,[1]Hugst!$R$4:$W$4,0))))</f>
        <v>953.67784199875382</v>
      </c>
      <c r="H101">
        <f ca="1">IF($C101-H$1&lt;År1,0,G100*(1-VLOOKUP($A101,[1]Hugst!$R$5:$W$9,MATCH(ROUNDUP((H$1)/10,0)*10,[1]Hugst!$R$4:$W$4,0))))</f>
        <v>955.0820400779362</v>
      </c>
      <c r="I101">
        <f ca="1">IF($C101-I$1&lt;År1,0,H100*(1-VLOOKUP($A101,[1]Hugst!$R$5:$W$9,MATCH(ROUNDUP((I$1)/10,0)*10,[1]Hugst!$R$4:$W$4,0))))</f>
        <v>956.49329442886085</v>
      </c>
      <c r="J101">
        <f ca="1">IF($C101-J$1&lt;År1,0,I100*(1-VLOOKUP($A101,[1]Hugst!$R$5:$W$9,MATCH(ROUNDUP((J$1)/10,0)*10,[1]Hugst!$R$4:$W$4,0))))</f>
        <v>957.91164051020678</v>
      </c>
      <c r="K101">
        <f ca="1">IF($C101-K$1&lt;År1,0,J100*(1-VLOOKUP($A101,[1]Hugst!$R$5:$W$9,MATCH(ROUNDUP((K$1)/10,0)*10,[1]Hugst!$R$4:$W$4,0))))</f>
        <v>959.33711395878777</v>
      </c>
      <c r="L101">
        <f ca="1">IF($C101-L$1&lt;År1,0,K100*(1-VLOOKUP($A101,[1]Hugst!$R$5:$W$9,MATCH(ROUNDUP((L$1)/10,0)*10,[1]Hugst!$R$4:$W$4,0))))</f>
        <v>960.76975059052859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55000000000000004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950.8904737066332</v>
      </c>
      <c r="G102">
        <f ca="1">IF($C102-G$1&lt;År1,0,F101*(1-VLOOKUP($A102,[1]Hugst!$R$5:$W$9,MATCH(ROUNDUP((G$1)/10,0)*10,[1]Hugst!$R$4:$W$4,0))))</f>
        <v>952.28066490998458</v>
      </c>
      <c r="H102">
        <f ca="1">IF($C102-H$1&lt;År1,0,G101*(1-VLOOKUP($A102,[1]Hugst!$R$5:$W$9,MATCH(ROUNDUP((H$1)/10,0)*10,[1]Hugst!$R$4:$W$4,0))))</f>
        <v>953.67784199875382</v>
      </c>
      <c r="I102">
        <f ca="1">IF($C102-I$1&lt;År1,0,H101*(1-VLOOKUP($A102,[1]Hugst!$R$5:$W$9,MATCH(ROUNDUP((I$1)/10,0)*10,[1]Hugst!$R$4:$W$4,0))))</f>
        <v>955.0820400779362</v>
      </c>
      <c r="J102">
        <f ca="1">IF($C102-J$1&lt;År1,0,I101*(1-VLOOKUP($A102,[1]Hugst!$R$5:$W$9,MATCH(ROUNDUP((J$1)/10,0)*10,[1]Hugst!$R$4:$W$4,0))))</f>
        <v>956.49329442886085</v>
      </c>
      <c r="K102">
        <f ca="1">IF($C102-K$1&lt;År1,0,J101*(1-VLOOKUP($A102,[1]Hugst!$R$5:$W$9,MATCH(ROUNDUP((K$1)/10,0)*10,[1]Hugst!$R$4:$W$4,0))))</f>
        <v>957.91164051020678</v>
      </c>
      <c r="L102">
        <f ca="1">IF($C102-L$1&lt;År1,0,K101*(1-VLOOKUP($A102,[1]Hugst!$R$5:$W$9,MATCH(ROUNDUP((L$1)/10,0)*10,[1]Hugst!$R$4:$W$4,0))))</f>
        <v>959.33711395878777</v>
      </c>
      <c r="M102">
        <f ca="1">IF($C102-M$1&lt;År1,0,L101*(1-VLOOKUP($A102,[1]Hugst!$R$5:$W$9,MATCH(ROUNDUP((M$1)/10,0)*10,[1]Hugst!$R$4:$W$4,0))))</f>
        <v>960.76975059052859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55000000000000004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949.50723345931829</v>
      </c>
      <c r="G103">
        <f ca="1">IF($C103-G$1&lt;År1,0,F102*(1-VLOOKUP($A103,[1]Hugst!$R$5:$W$9,MATCH(ROUNDUP((G$1)/10,0)*10,[1]Hugst!$R$4:$W$4,0))))</f>
        <v>950.8904737066332</v>
      </c>
      <c r="H103">
        <f ca="1">IF($C103-H$1&lt;År1,0,G102*(1-VLOOKUP($A103,[1]Hugst!$R$5:$W$9,MATCH(ROUNDUP((H$1)/10,0)*10,[1]Hugst!$R$4:$W$4,0))))</f>
        <v>952.28066490998458</v>
      </c>
      <c r="I103">
        <f ca="1">IF($C103-I$1&lt;År1,0,H102*(1-VLOOKUP($A103,[1]Hugst!$R$5:$W$9,MATCH(ROUNDUP((I$1)/10,0)*10,[1]Hugst!$R$4:$W$4,0))))</f>
        <v>953.67784199875382</v>
      </c>
      <c r="J103">
        <f ca="1">IF($C103-J$1&lt;År1,0,I102*(1-VLOOKUP($A103,[1]Hugst!$R$5:$W$9,MATCH(ROUNDUP((J$1)/10,0)*10,[1]Hugst!$R$4:$W$4,0))))</f>
        <v>955.0820400779362</v>
      </c>
      <c r="K103">
        <f ca="1">IF($C103-K$1&lt;År1,0,J102*(1-VLOOKUP($A103,[1]Hugst!$R$5:$W$9,MATCH(ROUNDUP((K$1)/10,0)*10,[1]Hugst!$R$4:$W$4,0))))</f>
        <v>956.49329442886085</v>
      </c>
      <c r="L103">
        <f ca="1">IF($C103-L$1&lt;År1,0,K102*(1-VLOOKUP($A103,[1]Hugst!$R$5:$W$9,MATCH(ROUNDUP((L$1)/10,0)*10,[1]Hugst!$R$4:$W$4,0))))</f>
        <v>957.91164051020678</v>
      </c>
      <c r="M103">
        <f ca="1">IF($C103-M$1&lt;År1,0,L102*(1-VLOOKUP($A103,[1]Hugst!$R$5:$W$9,MATCH(ROUNDUP((M$1)/10,0)*10,[1]Hugst!$R$4:$W$4,0))))</f>
        <v>959.33711395878777</v>
      </c>
      <c r="N103">
        <f ca="1">IF($C103-N$1&lt;År1,0,M102*(1-VLOOKUP($A103,[1]Hugst!$R$5:$W$9,MATCH(ROUNDUP((N$1)/10,0)*10,[1]Hugst!$R$4:$W$4,0))))</f>
        <v>960.76975059052859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55000000000000004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948.13090941323208</v>
      </c>
      <c r="G104">
        <f ca="1">IF($C104-G$1&lt;År1,0,F103*(1-VLOOKUP($A104,[1]Hugst!$R$5:$W$9,MATCH(ROUNDUP((G$1)/10,0)*10,[1]Hugst!$R$4:$W$4,0))))</f>
        <v>949.50723345931829</v>
      </c>
      <c r="H104">
        <f ca="1">IF($C104-H$1&lt;År1,0,G103*(1-VLOOKUP($A104,[1]Hugst!$R$5:$W$9,MATCH(ROUNDUP((H$1)/10,0)*10,[1]Hugst!$R$4:$W$4,0))))</f>
        <v>950.8904737066332</v>
      </c>
      <c r="I104">
        <f ca="1">IF($C104-I$1&lt;År1,0,H103*(1-VLOOKUP($A104,[1]Hugst!$R$5:$W$9,MATCH(ROUNDUP((I$1)/10,0)*10,[1]Hugst!$R$4:$W$4,0))))</f>
        <v>952.28066490998458</v>
      </c>
      <c r="J104">
        <f ca="1">IF($C104-J$1&lt;År1,0,I103*(1-VLOOKUP($A104,[1]Hugst!$R$5:$W$9,MATCH(ROUNDUP((J$1)/10,0)*10,[1]Hugst!$R$4:$W$4,0))))</f>
        <v>953.67784199875382</v>
      </c>
      <c r="K104">
        <f ca="1">IF($C104-K$1&lt;År1,0,J103*(1-VLOOKUP($A104,[1]Hugst!$R$5:$W$9,MATCH(ROUNDUP((K$1)/10,0)*10,[1]Hugst!$R$4:$W$4,0))))</f>
        <v>955.0820400779362</v>
      </c>
      <c r="L104">
        <f ca="1">IF($C104-L$1&lt;År1,0,K103*(1-VLOOKUP($A104,[1]Hugst!$R$5:$W$9,MATCH(ROUNDUP((L$1)/10,0)*10,[1]Hugst!$R$4:$W$4,0))))</f>
        <v>956.49329442886085</v>
      </c>
      <c r="M104">
        <f ca="1">IF($C104-M$1&lt;År1,0,L103*(1-VLOOKUP($A104,[1]Hugst!$R$5:$W$9,MATCH(ROUNDUP((M$1)/10,0)*10,[1]Hugst!$R$4:$W$4,0))))</f>
        <v>957.91164051020678</v>
      </c>
      <c r="N104">
        <f ca="1">IF($C104-N$1&lt;År1,0,M103*(1-VLOOKUP($A104,[1]Hugst!$R$5:$W$9,MATCH(ROUNDUP((N$1)/10,0)*10,[1]Hugst!$R$4:$W$4,0))))</f>
        <v>959.33711395878777</v>
      </c>
      <c r="O104">
        <f ca="1">IF($C104-O$1&lt;År1,0,N103*(1-VLOOKUP($A104,[1]Hugst!$R$5:$W$9,MATCH(ROUNDUP((O$1)/10,0)*10,[1]Hugst!$R$4:$W$4,0))))</f>
        <v>960.76975059052859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55000000000000004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1.4655809754767688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948.22704796286098</v>
      </c>
      <c r="G105">
        <f ca="1">IF($C105-G$1&lt;År1,0,F104*(1-VLOOKUP($A105,[1]Hugst!$R$5:$W$9,MATCH(ROUNDUP((G$1)/10,0)*10,[1]Hugst!$R$4:$W$4,0))))</f>
        <v>948.13090941323208</v>
      </c>
      <c r="H105">
        <f ca="1">IF($C105-H$1&lt;År1,0,G104*(1-VLOOKUP($A105,[1]Hugst!$R$5:$W$9,MATCH(ROUNDUP((H$1)/10,0)*10,[1]Hugst!$R$4:$W$4,0))))</f>
        <v>949.50723345931829</v>
      </c>
      <c r="I105">
        <f ca="1">IF($C105-I$1&lt;År1,0,H104*(1-VLOOKUP($A105,[1]Hugst!$R$5:$W$9,MATCH(ROUNDUP((I$1)/10,0)*10,[1]Hugst!$R$4:$W$4,0))))</f>
        <v>950.8904737066332</v>
      </c>
      <c r="J105">
        <f ca="1">IF($C105-J$1&lt;År1,0,I104*(1-VLOOKUP($A105,[1]Hugst!$R$5:$W$9,MATCH(ROUNDUP((J$1)/10,0)*10,[1]Hugst!$R$4:$W$4,0))))</f>
        <v>952.28066490998458</v>
      </c>
      <c r="K105">
        <f ca="1">IF($C105-K$1&lt;År1,0,J104*(1-VLOOKUP($A105,[1]Hugst!$R$5:$W$9,MATCH(ROUNDUP((K$1)/10,0)*10,[1]Hugst!$R$4:$W$4,0))))</f>
        <v>953.67784199875382</v>
      </c>
      <c r="L105">
        <f ca="1">IF($C105-L$1&lt;År1,0,K104*(1-VLOOKUP($A105,[1]Hugst!$R$5:$W$9,MATCH(ROUNDUP((L$1)/10,0)*10,[1]Hugst!$R$4:$W$4,0))))</f>
        <v>955.0820400779362</v>
      </c>
      <c r="M105">
        <f ca="1">IF($C105-M$1&lt;År1,0,L104*(1-VLOOKUP($A105,[1]Hugst!$R$5:$W$9,MATCH(ROUNDUP((M$1)/10,0)*10,[1]Hugst!$R$4:$W$4,0))))</f>
        <v>956.49329442886085</v>
      </c>
      <c r="N105">
        <f ca="1">IF($C105-N$1&lt;År1,0,M104*(1-VLOOKUP($A105,[1]Hugst!$R$5:$W$9,MATCH(ROUNDUP((N$1)/10,0)*10,[1]Hugst!$R$4:$W$4,0))))</f>
        <v>957.91164051020678</v>
      </c>
      <c r="O105">
        <f ca="1">IF($C105-O$1&lt;År1,0,N104*(1-VLOOKUP($A105,[1]Hugst!$R$5:$W$9,MATCH(ROUNDUP((O$1)/10,0)*10,[1]Hugst!$R$4:$W$4,0))))</f>
        <v>959.33711395878777</v>
      </c>
      <c r="P105">
        <f ca="1">IF($C105-P$1&lt;År1,0,O104*(1-VLOOKUP($A105,[1]Hugst!$R$5:$W$9,MATCH(ROUNDUP((P$1)/10,0)*10,[1]Hugst!$R$4:$W$4,0))))</f>
        <v>959.30416961505148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55000000000000004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2.926740941045864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644.9165218056005</v>
      </c>
      <c r="G106">
        <f ca="1">IF($C106-G$1&lt;År1,0,F105*(1-VLOOKUP($A106,[1]Hugst!$R$5:$W$9,MATCH(ROUNDUP((G$1)/10,0)*10,[1]Hugst!$R$4:$W$4,0))))</f>
        <v>948.22704796286098</v>
      </c>
      <c r="H106">
        <f ca="1">IF($C106-H$1&lt;År1,0,G105*(1-VLOOKUP($A106,[1]Hugst!$R$5:$W$9,MATCH(ROUNDUP((H$1)/10,0)*10,[1]Hugst!$R$4:$W$4,0))))</f>
        <v>948.13090941323208</v>
      </c>
      <c r="I106">
        <f ca="1">IF($C106-I$1&lt;År1,0,H105*(1-VLOOKUP($A106,[1]Hugst!$R$5:$W$9,MATCH(ROUNDUP((I$1)/10,0)*10,[1]Hugst!$R$4:$W$4,0))))</f>
        <v>949.50723345931829</v>
      </c>
      <c r="J106">
        <f ca="1">IF($C106-J$1&lt;År1,0,I105*(1-VLOOKUP($A106,[1]Hugst!$R$5:$W$9,MATCH(ROUNDUP((J$1)/10,0)*10,[1]Hugst!$R$4:$W$4,0))))</f>
        <v>950.8904737066332</v>
      </c>
      <c r="K106">
        <f ca="1">IF($C106-K$1&lt;År1,0,J105*(1-VLOOKUP($A106,[1]Hugst!$R$5:$W$9,MATCH(ROUNDUP((K$1)/10,0)*10,[1]Hugst!$R$4:$W$4,0))))</f>
        <v>952.28066490998458</v>
      </c>
      <c r="L106">
        <f ca="1">IF($C106-L$1&lt;År1,0,K105*(1-VLOOKUP($A106,[1]Hugst!$R$5:$W$9,MATCH(ROUNDUP((L$1)/10,0)*10,[1]Hugst!$R$4:$W$4,0))))</f>
        <v>953.67784199875382</v>
      </c>
      <c r="M106">
        <f ca="1">IF($C106-M$1&lt;År1,0,L105*(1-VLOOKUP($A106,[1]Hugst!$R$5:$W$9,MATCH(ROUNDUP((M$1)/10,0)*10,[1]Hugst!$R$4:$W$4,0))))</f>
        <v>955.0820400779362</v>
      </c>
      <c r="N106">
        <f ca="1">IF($C106-N$1&lt;År1,0,M105*(1-VLOOKUP($A106,[1]Hugst!$R$5:$W$9,MATCH(ROUNDUP((N$1)/10,0)*10,[1]Hugst!$R$4:$W$4,0))))</f>
        <v>956.49329442886085</v>
      </c>
      <c r="O106">
        <f ca="1">IF($C106-O$1&lt;År1,0,N105*(1-VLOOKUP($A106,[1]Hugst!$R$5:$W$9,MATCH(ROUNDUP((O$1)/10,0)*10,[1]Hugst!$R$4:$W$4,0))))</f>
        <v>957.91164051020678</v>
      </c>
      <c r="P106">
        <f ca="1">IF($C106-P$1&lt;År1,0,O105*(1-VLOOKUP($A106,[1]Hugst!$R$5:$W$9,MATCH(ROUNDUP((P$1)/10,0)*10,[1]Hugst!$R$4:$W$4,0))))</f>
        <v>957.8737183612235</v>
      </c>
      <c r="Q106">
        <f ca="1">IF($C106-Q$1&lt;År1,0,P105*(1-VLOOKUP($A106,[1]Hugst!$R$5:$W$9,MATCH(ROUNDUP((Q$1)/10,0)*10,[1]Hugst!$R$4:$W$4,0))))</f>
        <v>957.84082427157091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55000000000000004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4.3834975675054011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645.01749619441398</v>
      </c>
      <c r="G107">
        <f ca="1">IF($C107-G$1&lt;År1,0,F106*(1-VLOOKUP($A107,[1]Hugst!$R$5:$W$9,MATCH(ROUNDUP((G$1)/10,0)*10,[1]Hugst!$R$4:$W$4,0))))</f>
        <v>644.9165218056005</v>
      </c>
      <c r="H107">
        <f ca="1">IF($C107-H$1&lt;År1,0,G106*(1-VLOOKUP($A107,[1]Hugst!$R$5:$W$9,MATCH(ROUNDUP((H$1)/10,0)*10,[1]Hugst!$R$4:$W$4,0))))</f>
        <v>948.22704796286098</v>
      </c>
      <c r="I107">
        <f ca="1">IF($C107-I$1&lt;År1,0,H106*(1-VLOOKUP($A107,[1]Hugst!$R$5:$W$9,MATCH(ROUNDUP((I$1)/10,0)*10,[1]Hugst!$R$4:$W$4,0))))</f>
        <v>948.13090941323208</v>
      </c>
      <c r="J107">
        <f ca="1">IF($C107-J$1&lt;År1,0,I106*(1-VLOOKUP($A107,[1]Hugst!$R$5:$W$9,MATCH(ROUNDUP((J$1)/10,0)*10,[1]Hugst!$R$4:$W$4,0))))</f>
        <v>949.50723345931829</v>
      </c>
      <c r="K107">
        <f ca="1">IF($C107-K$1&lt;År1,0,J106*(1-VLOOKUP($A107,[1]Hugst!$R$5:$W$9,MATCH(ROUNDUP((K$1)/10,0)*10,[1]Hugst!$R$4:$W$4,0))))</f>
        <v>950.8904737066332</v>
      </c>
      <c r="L107">
        <f ca="1">IF($C107-L$1&lt;År1,0,K106*(1-VLOOKUP($A107,[1]Hugst!$R$5:$W$9,MATCH(ROUNDUP((L$1)/10,0)*10,[1]Hugst!$R$4:$W$4,0))))</f>
        <v>952.28066490998458</v>
      </c>
      <c r="M107">
        <f ca="1">IF($C107-M$1&lt;År1,0,L106*(1-VLOOKUP($A107,[1]Hugst!$R$5:$W$9,MATCH(ROUNDUP((M$1)/10,0)*10,[1]Hugst!$R$4:$W$4,0))))</f>
        <v>953.67784199875382</v>
      </c>
      <c r="N107">
        <f ca="1">IF($C107-N$1&lt;År1,0,M106*(1-VLOOKUP($A107,[1]Hugst!$R$5:$W$9,MATCH(ROUNDUP((N$1)/10,0)*10,[1]Hugst!$R$4:$W$4,0))))</f>
        <v>955.0820400779362</v>
      </c>
      <c r="O107">
        <f ca="1">IF($C107-O$1&lt;År1,0,N106*(1-VLOOKUP($A107,[1]Hugst!$R$5:$W$9,MATCH(ROUNDUP((O$1)/10,0)*10,[1]Hugst!$R$4:$W$4,0))))</f>
        <v>956.49329442886085</v>
      </c>
      <c r="P107">
        <f ca="1">IF($C107-P$1&lt;År1,0,O106*(1-VLOOKUP($A107,[1]Hugst!$R$5:$W$9,MATCH(ROUNDUP((P$1)/10,0)*10,[1]Hugst!$R$4:$W$4,0))))</f>
        <v>956.45041936366579</v>
      </c>
      <c r="Q107">
        <f ca="1">IF($C107-Q$1&lt;År1,0,P106*(1-VLOOKUP($A107,[1]Hugst!$R$5:$W$9,MATCH(ROUNDUP((Q$1)/10,0)*10,[1]Hugst!$R$4:$W$4,0))))</f>
        <v>956.41255506202833</v>
      </c>
      <c r="R107">
        <f ca="1">IF($C107-R$1&lt;År1,0,Q106*(1-VLOOKUP($A107,[1]Hugst!$R$5:$W$9,MATCH(ROUNDUP((R$1)/10,0)*10,[1]Hugst!$R$4:$W$4,0))))</f>
        <v>956.37971114980064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55000000000000004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5.8358684440754587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645.12086374451246</v>
      </c>
      <c r="G108">
        <f ca="1">IF($C108-G$1&lt;År1,0,F107*(1-VLOOKUP($A108,[1]Hugst!$R$5:$W$9,MATCH(ROUNDUP((G$1)/10,0)*10,[1]Hugst!$R$4:$W$4,0))))</f>
        <v>645.01749619441398</v>
      </c>
      <c r="H108">
        <f ca="1">IF($C108-H$1&lt;År1,0,G107*(1-VLOOKUP($A108,[1]Hugst!$R$5:$W$9,MATCH(ROUNDUP((H$1)/10,0)*10,[1]Hugst!$R$4:$W$4,0))))</f>
        <v>644.9165218056005</v>
      </c>
      <c r="I108">
        <f ca="1">IF($C108-I$1&lt;År1,0,H107*(1-VLOOKUP($A108,[1]Hugst!$R$5:$W$9,MATCH(ROUNDUP((I$1)/10,0)*10,[1]Hugst!$R$4:$W$4,0))))</f>
        <v>948.22704796286098</v>
      </c>
      <c r="J108">
        <f ca="1">IF($C108-J$1&lt;År1,0,I107*(1-VLOOKUP($A108,[1]Hugst!$R$5:$W$9,MATCH(ROUNDUP((J$1)/10,0)*10,[1]Hugst!$R$4:$W$4,0))))</f>
        <v>948.13090941323208</v>
      </c>
      <c r="K108">
        <f ca="1">IF($C108-K$1&lt;År1,0,J107*(1-VLOOKUP($A108,[1]Hugst!$R$5:$W$9,MATCH(ROUNDUP((K$1)/10,0)*10,[1]Hugst!$R$4:$W$4,0))))</f>
        <v>949.50723345931829</v>
      </c>
      <c r="L108">
        <f ca="1">IF($C108-L$1&lt;År1,0,K107*(1-VLOOKUP($A108,[1]Hugst!$R$5:$W$9,MATCH(ROUNDUP((L$1)/10,0)*10,[1]Hugst!$R$4:$W$4,0))))</f>
        <v>950.8904737066332</v>
      </c>
      <c r="M108">
        <f ca="1">IF($C108-M$1&lt;År1,0,L107*(1-VLOOKUP($A108,[1]Hugst!$R$5:$W$9,MATCH(ROUNDUP((M$1)/10,0)*10,[1]Hugst!$R$4:$W$4,0))))</f>
        <v>952.28066490998458</v>
      </c>
      <c r="N108">
        <f ca="1">IF($C108-N$1&lt;År1,0,M107*(1-VLOOKUP($A108,[1]Hugst!$R$5:$W$9,MATCH(ROUNDUP((N$1)/10,0)*10,[1]Hugst!$R$4:$W$4,0))))</f>
        <v>953.67784199875382</v>
      </c>
      <c r="O108">
        <f ca="1">IF($C108-O$1&lt;År1,0,N107*(1-VLOOKUP($A108,[1]Hugst!$R$5:$W$9,MATCH(ROUNDUP((O$1)/10,0)*10,[1]Hugst!$R$4:$W$4,0))))</f>
        <v>955.0820400779362</v>
      </c>
      <c r="P108">
        <f ca="1">IF($C108-P$1&lt;År1,0,O107*(1-VLOOKUP($A108,[1]Hugst!$R$5:$W$9,MATCH(ROUNDUP((P$1)/10,0)*10,[1]Hugst!$R$4:$W$4,0))))</f>
        <v>955.03423686108795</v>
      </c>
      <c r="Q108">
        <f ca="1">IF($C108-Q$1&lt;År1,0,P107*(1-VLOOKUP($A108,[1]Hugst!$R$5:$W$9,MATCH(ROUNDUP((Q$1)/10,0)*10,[1]Hugst!$R$4:$W$4,0))))</f>
        <v>954.99142719853478</v>
      </c>
      <c r="R108">
        <f ca="1">IF($C108-R$1&lt;År1,0,Q107*(1-VLOOKUP($A108,[1]Hugst!$R$5:$W$9,MATCH(ROUNDUP((R$1)/10,0)*10,[1]Hugst!$R$4:$W$4,0))))</f>
        <v>954.95362065600148</v>
      </c>
      <c r="S108">
        <f ca="1">IF($C108-S$1&lt;År1,0,R107*(1-VLOOKUP($A108,[1]Hugst!$R$5:$W$9,MATCH(ROUNDUP((S$1)/10,0)*10,[1]Hugst!$R$4:$W$4,0))))</f>
        <v>954.92082684465686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55000000000000004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7.2838710787709715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645.22660806937347</v>
      </c>
      <c r="G109">
        <f ca="1">IF($C109-G$1&lt;År1,0,F108*(1-VLOOKUP($A109,[1]Hugst!$R$5:$W$9,MATCH(ROUNDUP((G$1)/10,0)*10,[1]Hugst!$R$4:$W$4,0))))</f>
        <v>645.12086374451246</v>
      </c>
      <c r="H109">
        <f ca="1">IF($C109-H$1&lt;År1,0,G108*(1-VLOOKUP($A109,[1]Hugst!$R$5:$W$9,MATCH(ROUNDUP((H$1)/10,0)*10,[1]Hugst!$R$4:$W$4,0))))</f>
        <v>645.01749619441398</v>
      </c>
      <c r="I109">
        <f ca="1">IF($C109-I$1&lt;År1,0,H108*(1-VLOOKUP($A109,[1]Hugst!$R$5:$W$9,MATCH(ROUNDUP((I$1)/10,0)*10,[1]Hugst!$R$4:$W$4,0))))</f>
        <v>644.9165218056005</v>
      </c>
      <c r="J109">
        <f ca="1">IF($C109-J$1&lt;År1,0,I108*(1-VLOOKUP($A109,[1]Hugst!$R$5:$W$9,MATCH(ROUNDUP((J$1)/10,0)*10,[1]Hugst!$R$4:$W$4,0))))</f>
        <v>948.22704796286098</v>
      </c>
      <c r="K109">
        <f ca="1">IF($C109-K$1&lt;År1,0,J108*(1-VLOOKUP($A109,[1]Hugst!$R$5:$W$9,MATCH(ROUNDUP((K$1)/10,0)*10,[1]Hugst!$R$4:$W$4,0))))</f>
        <v>948.13090941323208</v>
      </c>
      <c r="L109">
        <f ca="1">IF($C109-L$1&lt;År1,0,K108*(1-VLOOKUP($A109,[1]Hugst!$R$5:$W$9,MATCH(ROUNDUP((L$1)/10,0)*10,[1]Hugst!$R$4:$W$4,0))))</f>
        <v>949.50723345931829</v>
      </c>
      <c r="M109">
        <f ca="1">IF($C109-M$1&lt;År1,0,L108*(1-VLOOKUP($A109,[1]Hugst!$R$5:$W$9,MATCH(ROUNDUP((M$1)/10,0)*10,[1]Hugst!$R$4:$W$4,0))))</f>
        <v>950.8904737066332</v>
      </c>
      <c r="N109">
        <f ca="1">IF($C109-N$1&lt;År1,0,M108*(1-VLOOKUP($A109,[1]Hugst!$R$5:$W$9,MATCH(ROUNDUP((N$1)/10,0)*10,[1]Hugst!$R$4:$W$4,0))))</f>
        <v>952.28066490998458</v>
      </c>
      <c r="O109">
        <f ca="1">IF($C109-O$1&lt;År1,0,N108*(1-VLOOKUP($A109,[1]Hugst!$R$5:$W$9,MATCH(ROUNDUP((O$1)/10,0)*10,[1]Hugst!$R$4:$W$4,0))))</f>
        <v>953.67784199875382</v>
      </c>
      <c r="P109">
        <f ca="1">IF($C109-P$1&lt;År1,0,O108*(1-VLOOKUP($A109,[1]Hugst!$R$5:$W$9,MATCH(ROUNDUP((P$1)/10,0)*10,[1]Hugst!$R$4:$W$4,0))))</f>
        <v>953.62513527103761</v>
      </c>
      <c r="Q109">
        <f ca="1">IF($C109-Q$1&lt;År1,0,P108*(1-VLOOKUP($A109,[1]Hugst!$R$5:$W$9,MATCH(ROUNDUP((Q$1)/10,0)*10,[1]Hugst!$R$4:$W$4,0))))</f>
        <v>953.57740497435066</v>
      </c>
      <c r="R109">
        <f ca="1">IF($C109-R$1&lt;År1,0,Q108*(1-VLOOKUP($A109,[1]Hugst!$R$5:$W$9,MATCH(ROUNDUP((R$1)/10,0)*10,[1]Hugst!$R$4:$W$4,0))))</f>
        <v>953.53466061467259</v>
      </c>
      <c r="S109">
        <f ca="1">IF($C109-S$1&lt;År1,0,R108*(1-VLOOKUP($A109,[1]Hugst!$R$5:$W$9,MATCH(ROUNDUP((S$1)/10,0)*10,[1]Hugst!$R$4:$W$4,0))))</f>
        <v>953.49691174313637</v>
      </c>
      <c r="T109">
        <f ca="1">IF($C109-T$1&lt;År1,0,S108*(1-VLOOKUP($A109,[1]Hugst!$R$5:$W$9,MATCH(ROUNDUP((T$1)/10,0)*10,[1]Hugst!$R$4:$W$4,0))))</f>
        <v>953.46416795624975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55000000000000004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8.7275228988146409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645.33471287113616</v>
      </c>
      <c r="G110">
        <f ca="1">IF($C110-G$1&lt;År1,0,F109*(1-VLOOKUP($A110,[1]Hugst!$R$5:$W$9,MATCH(ROUNDUP((G$1)/10,0)*10,[1]Hugst!$R$4:$W$4,0))))</f>
        <v>645.22660806937347</v>
      </c>
      <c r="H110">
        <f ca="1">IF($C110-H$1&lt;År1,0,G109*(1-VLOOKUP($A110,[1]Hugst!$R$5:$W$9,MATCH(ROUNDUP((H$1)/10,0)*10,[1]Hugst!$R$4:$W$4,0))))</f>
        <v>645.12086374451246</v>
      </c>
      <c r="I110">
        <f ca="1">IF($C110-I$1&lt;År1,0,H109*(1-VLOOKUP($A110,[1]Hugst!$R$5:$W$9,MATCH(ROUNDUP((I$1)/10,0)*10,[1]Hugst!$R$4:$W$4,0))))</f>
        <v>645.01749619441398</v>
      </c>
      <c r="J110">
        <f ca="1">IF($C110-J$1&lt;År1,0,I109*(1-VLOOKUP($A110,[1]Hugst!$R$5:$W$9,MATCH(ROUNDUP((J$1)/10,0)*10,[1]Hugst!$R$4:$W$4,0))))</f>
        <v>644.9165218056005</v>
      </c>
      <c r="K110">
        <f ca="1">IF($C110-K$1&lt;År1,0,J109*(1-VLOOKUP($A110,[1]Hugst!$R$5:$W$9,MATCH(ROUNDUP((K$1)/10,0)*10,[1]Hugst!$R$4:$W$4,0))))</f>
        <v>948.22704796286098</v>
      </c>
      <c r="L110">
        <f ca="1">IF($C110-L$1&lt;År1,0,K109*(1-VLOOKUP($A110,[1]Hugst!$R$5:$W$9,MATCH(ROUNDUP((L$1)/10,0)*10,[1]Hugst!$R$4:$W$4,0))))</f>
        <v>948.13090941323208</v>
      </c>
      <c r="M110">
        <f ca="1">IF($C110-M$1&lt;År1,0,L109*(1-VLOOKUP($A110,[1]Hugst!$R$5:$W$9,MATCH(ROUNDUP((M$1)/10,0)*10,[1]Hugst!$R$4:$W$4,0))))</f>
        <v>949.50723345931829</v>
      </c>
      <c r="N110">
        <f ca="1">IF($C110-N$1&lt;År1,0,M109*(1-VLOOKUP($A110,[1]Hugst!$R$5:$W$9,MATCH(ROUNDUP((N$1)/10,0)*10,[1]Hugst!$R$4:$W$4,0))))</f>
        <v>950.8904737066332</v>
      </c>
      <c r="O110">
        <f ca="1">IF($C110-O$1&lt;År1,0,N109*(1-VLOOKUP($A110,[1]Hugst!$R$5:$W$9,MATCH(ROUNDUP((O$1)/10,0)*10,[1]Hugst!$R$4:$W$4,0))))</f>
        <v>952.28066490998458</v>
      </c>
      <c r="P110">
        <f ca="1">IF($C110-P$1&lt;År1,0,O109*(1-VLOOKUP($A110,[1]Hugst!$R$5:$W$9,MATCH(ROUNDUP((P$1)/10,0)*10,[1]Hugst!$R$4:$W$4,0))))</f>
        <v>952.22307918892523</v>
      </c>
      <c r="Q110">
        <f ca="1">IF($C110-Q$1&lt;År1,0,P109*(1-VLOOKUP($A110,[1]Hugst!$R$5:$W$9,MATCH(ROUNDUP((Q$1)/10,0)*10,[1]Hugst!$R$4:$W$4,0))))</f>
        <v>952.17045286130212</v>
      </c>
      <c r="R110">
        <f ca="1">IF($C110-R$1&lt;År1,0,Q109*(1-VLOOKUP($A110,[1]Hugst!$R$5:$W$9,MATCH(ROUNDUP((R$1)/10,0)*10,[1]Hugst!$R$4:$W$4,0))))</f>
        <v>952.12279537354232</v>
      </c>
      <c r="S110">
        <f ca="1">IF($C110-S$1&lt;År1,0,R109*(1-VLOOKUP($A110,[1]Hugst!$R$5:$W$9,MATCH(ROUNDUP((S$1)/10,0)*10,[1]Hugst!$R$4:$W$4,0))))</f>
        <v>952.08011621712478</v>
      </c>
      <c r="T110">
        <f ca="1">IF($C110-T$1&lt;År1,0,S109*(1-VLOOKUP($A110,[1]Hugst!$R$5:$W$9,MATCH(ROUNDUP((T$1)/10,0)*10,[1]Hugst!$R$4:$W$4,0))))</f>
        <v>952.04242492861295</v>
      </c>
      <c r="U110">
        <f ca="1">IF($C110-U$1&lt;År1,0,T109*(1-VLOOKUP($A110,[1]Hugst!$R$5:$W$9,MATCH(ROUNDUP((U$1)/10,0)*10,[1]Hugst!$R$4:$W$4,0))))</f>
        <v>952.0097310898758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55000000000000004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10.166841251040751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645.44516194016023</v>
      </c>
      <c r="G111">
        <f ca="1">IF($C111-G$1&lt;År1,0,F110*(1-VLOOKUP($A111,[1]Hugst!$R$5:$W$9,MATCH(ROUNDUP((G$1)/10,0)*10,[1]Hugst!$R$4:$W$4,0))))</f>
        <v>645.33471287113616</v>
      </c>
      <c r="H111">
        <f ca="1">IF($C111-H$1&lt;År1,0,G110*(1-VLOOKUP($A111,[1]Hugst!$R$5:$W$9,MATCH(ROUNDUP((H$1)/10,0)*10,[1]Hugst!$R$4:$W$4,0))))</f>
        <v>645.22660806937347</v>
      </c>
      <c r="I111">
        <f ca="1">IF($C111-I$1&lt;År1,0,H110*(1-VLOOKUP($A111,[1]Hugst!$R$5:$W$9,MATCH(ROUNDUP((I$1)/10,0)*10,[1]Hugst!$R$4:$W$4,0))))</f>
        <v>645.12086374451246</v>
      </c>
      <c r="J111">
        <f ca="1">IF($C111-J$1&lt;År1,0,I110*(1-VLOOKUP($A111,[1]Hugst!$R$5:$W$9,MATCH(ROUNDUP((J$1)/10,0)*10,[1]Hugst!$R$4:$W$4,0))))</f>
        <v>645.01749619441398</v>
      </c>
      <c r="K111">
        <f ca="1">IF($C111-K$1&lt;År1,0,J110*(1-VLOOKUP($A111,[1]Hugst!$R$5:$W$9,MATCH(ROUNDUP((K$1)/10,0)*10,[1]Hugst!$R$4:$W$4,0))))</f>
        <v>644.9165218056005</v>
      </c>
      <c r="L111">
        <f ca="1">IF($C111-L$1&lt;År1,0,K110*(1-VLOOKUP($A111,[1]Hugst!$R$5:$W$9,MATCH(ROUNDUP((L$1)/10,0)*10,[1]Hugst!$R$4:$W$4,0))))</f>
        <v>948.22704796286098</v>
      </c>
      <c r="M111">
        <f ca="1">IF($C111-M$1&lt;År1,0,L110*(1-VLOOKUP($A111,[1]Hugst!$R$5:$W$9,MATCH(ROUNDUP((M$1)/10,0)*10,[1]Hugst!$R$4:$W$4,0))))</f>
        <v>948.13090941323208</v>
      </c>
      <c r="N111">
        <f ca="1">IF($C111-N$1&lt;År1,0,M110*(1-VLOOKUP($A111,[1]Hugst!$R$5:$W$9,MATCH(ROUNDUP((N$1)/10,0)*10,[1]Hugst!$R$4:$W$4,0))))</f>
        <v>949.50723345931829</v>
      </c>
      <c r="O111">
        <f ca="1">IF($C111-O$1&lt;År1,0,N110*(1-VLOOKUP($A111,[1]Hugst!$R$5:$W$9,MATCH(ROUNDUP((O$1)/10,0)*10,[1]Hugst!$R$4:$W$4,0))))</f>
        <v>950.8904737066332</v>
      </c>
      <c r="P111">
        <f ca="1">IF($C111-P$1&lt;År1,0,O110*(1-VLOOKUP($A111,[1]Hugst!$R$5:$W$9,MATCH(ROUNDUP((P$1)/10,0)*10,[1]Hugst!$R$4:$W$4,0))))</f>
        <v>950.82803338724045</v>
      </c>
      <c r="Q111">
        <f ca="1">IF($C111-Q$1&lt;År1,0,P110*(1-VLOOKUP($A111,[1]Hugst!$R$5:$W$9,MATCH(ROUNDUP((Q$1)/10,0)*10,[1]Hugst!$R$4:$W$4,0))))</f>
        <v>950.77053550880646</v>
      </c>
      <c r="R111">
        <f ca="1">IF($C111-R$1&lt;År1,0,Q110*(1-VLOOKUP($A111,[1]Hugst!$R$5:$W$9,MATCH(ROUNDUP((R$1)/10,0)*10,[1]Hugst!$R$4:$W$4,0))))</f>
        <v>950.71798945863236</v>
      </c>
      <c r="S111">
        <f ca="1">IF($C111-S$1&lt;År1,0,R110*(1-VLOOKUP($A111,[1]Hugst!$R$5:$W$9,MATCH(ROUNDUP((S$1)/10,0)*10,[1]Hugst!$R$4:$W$4,0))))</f>
        <v>950.67040466873516</v>
      </c>
      <c r="T111">
        <f ca="1">IF($C111-T$1&lt;År1,0,S110*(1-VLOOKUP($A111,[1]Hugst!$R$5:$W$9,MATCH(ROUNDUP((T$1)/10,0)*10,[1]Hugst!$R$4:$W$4,0))))</f>
        <v>950.62779061611559</v>
      </c>
      <c r="U111">
        <f ca="1">IF($C111-U$1&lt;År1,0,T110*(1-VLOOKUP($A111,[1]Hugst!$R$5:$W$9,MATCH(ROUNDUP((U$1)/10,0)*10,[1]Hugst!$R$4:$W$4,0))))</f>
        <v>950.5901568227896</v>
      </c>
      <c r="V111">
        <f ca="1">IF($C111-V$1&lt;År1,0,U110*(1-VLOOKUP($A111,[1]Hugst!$R$5:$W$9,MATCH(ROUNDUP((V$1)/10,0)*10,[1]Hugst!$R$4:$W$4,0))))</f>
        <v>950.55751285600991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55000000000000004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11.601843402244413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645.55793915458844</v>
      </c>
      <c r="G112">
        <f ca="1">IF($C112-G$1&lt;År1,0,F111*(1-VLOOKUP($A112,[1]Hugst!$R$5:$W$9,MATCH(ROUNDUP((G$1)/10,0)*10,[1]Hugst!$R$4:$W$4,0))))</f>
        <v>645.44516194016023</v>
      </c>
      <c r="H112">
        <f ca="1">IF($C112-H$1&lt;År1,0,G111*(1-VLOOKUP($A112,[1]Hugst!$R$5:$W$9,MATCH(ROUNDUP((H$1)/10,0)*10,[1]Hugst!$R$4:$W$4,0))))</f>
        <v>645.33471287113616</v>
      </c>
      <c r="I112">
        <f ca="1">IF($C112-I$1&lt;År1,0,H111*(1-VLOOKUP($A112,[1]Hugst!$R$5:$W$9,MATCH(ROUNDUP((I$1)/10,0)*10,[1]Hugst!$R$4:$W$4,0))))</f>
        <v>645.22660806937347</v>
      </c>
      <c r="J112">
        <f ca="1">IF($C112-J$1&lt;År1,0,I111*(1-VLOOKUP($A112,[1]Hugst!$R$5:$W$9,MATCH(ROUNDUP((J$1)/10,0)*10,[1]Hugst!$R$4:$W$4,0))))</f>
        <v>645.12086374451246</v>
      </c>
      <c r="K112">
        <f ca="1">IF($C112-K$1&lt;År1,0,J111*(1-VLOOKUP($A112,[1]Hugst!$R$5:$W$9,MATCH(ROUNDUP((K$1)/10,0)*10,[1]Hugst!$R$4:$W$4,0))))</f>
        <v>645.01749619441398</v>
      </c>
      <c r="L112">
        <f ca="1">IF($C112-L$1&lt;År1,0,K111*(1-VLOOKUP($A112,[1]Hugst!$R$5:$W$9,MATCH(ROUNDUP((L$1)/10,0)*10,[1]Hugst!$R$4:$W$4,0))))</f>
        <v>644.9165218056005</v>
      </c>
      <c r="M112">
        <f ca="1">IF($C112-M$1&lt;År1,0,L111*(1-VLOOKUP($A112,[1]Hugst!$R$5:$W$9,MATCH(ROUNDUP((M$1)/10,0)*10,[1]Hugst!$R$4:$W$4,0))))</f>
        <v>948.22704796286098</v>
      </c>
      <c r="N112">
        <f ca="1">IF($C112-N$1&lt;År1,0,M111*(1-VLOOKUP($A112,[1]Hugst!$R$5:$W$9,MATCH(ROUNDUP((N$1)/10,0)*10,[1]Hugst!$R$4:$W$4,0))))</f>
        <v>948.13090941323208</v>
      </c>
      <c r="O112">
        <f ca="1">IF($C112-O$1&lt;År1,0,N111*(1-VLOOKUP($A112,[1]Hugst!$R$5:$W$9,MATCH(ROUNDUP((O$1)/10,0)*10,[1]Hugst!$R$4:$W$4,0))))</f>
        <v>949.50723345931829</v>
      </c>
      <c r="P112">
        <f ca="1">IF($C112-P$1&lt;År1,0,O111*(1-VLOOKUP($A112,[1]Hugst!$R$5:$W$9,MATCH(ROUNDUP((P$1)/10,0)*10,[1]Hugst!$R$4:$W$4,0))))</f>
        <v>949.43996281453826</v>
      </c>
      <c r="Q112">
        <f ca="1">IF($C112-Q$1&lt;År1,0,P111*(1-VLOOKUP($A112,[1]Hugst!$R$5:$W$9,MATCH(ROUNDUP((Q$1)/10,0)*10,[1]Hugst!$R$4:$W$4,0))))</f>
        <v>949.37761774309035</v>
      </c>
      <c r="R112">
        <f ca="1">IF($C112-R$1&lt;År1,0,Q111*(1-VLOOKUP($A112,[1]Hugst!$R$5:$W$9,MATCH(ROUNDUP((R$1)/10,0)*10,[1]Hugst!$R$4:$W$4,0))))</f>
        <v>949.32020757328451</v>
      </c>
      <c r="S112">
        <f ca="1">IF($C112-S$1&lt;År1,0,R111*(1-VLOOKUP($A112,[1]Hugst!$R$5:$W$9,MATCH(ROUNDUP((S$1)/10,0)*10,[1]Hugst!$R$4:$W$4,0))))</f>
        <v>949.2677416781022</v>
      </c>
      <c r="T112">
        <f ca="1">IF($C112-T$1&lt;År1,0,S111*(1-VLOOKUP($A112,[1]Hugst!$R$5:$W$9,MATCH(ROUNDUP((T$1)/10,0)*10,[1]Hugst!$R$4:$W$4,0))))</f>
        <v>949.22022947517269</v>
      </c>
      <c r="U112">
        <f ca="1">IF($C112-U$1&lt;År1,0,T111*(1-VLOOKUP($A112,[1]Hugst!$R$5:$W$9,MATCH(ROUNDUP((U$1)/10,0)*10,[1]Hugst!$R$4:$W$4,0))))</f>
        <v>949.17768042704017</v>
      </c>
      <c r="V112">
        <f ca="1">IF($C112-V$1&lt;År1,0,U111*(1-VLOOKUP($A112,[1]Hugst!$R$5:$W$9,MATCH(ROUNDUP((V$1)/10,0)*10,[1]Hugst!$R$4:$W$4,0))))</f>
        <v>949.14010404119551</v>
      </c>
      <c r="W112">
        <f ca="1">IF($C112-W$1&lt;År1,0,V111*(1-VLOOKUP($A112,[1]Hugst!$R$5:$W$9,MATCH(ROUNDUP((W$1)/10,0)*10,[1]Hugst!$R$4:$W$4,0))))</f>
        <v>949.10750987029735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55000000000000004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13.032546539614486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645.67302847986821</v>
      </c>
      <c r="G113">
        <f ca="1">IF($C113-G$1&lt;År1,0,F112*(1-VLOOKUP($A113,[1]Hugst!$R$5:$W$9,MATCH(ROUNDUP((G$1)/10,0)*10,[1]Hugst!$R$4:$W$4,0))))</f>
        <v>645.55793915458844</v>
      </c>
      <c r="H113">
        <f ca="1">IF($C113-H$1&lt;År1,0,G112*(1-VLOOKUP($A113,[1]Hugst!$R$5:$W$9,MATCH(ROUNDUP((H$1)/10,0)*10,[1]Hugst!$R$4:$W$4,0))))</f>
        <v>645.44516194016023</v>
      </c>
      <c r="I113">
        <f ca="1">IF($C113-I$1&lt;År1,0,H112*(1-VLOOKUP($A113,[1]Hugst!$R$5:$W$9,MATCH(ROUNDUP((I$1)/10,0)*10,[1]Hugst!$R$4:$W$4,0))))</f>
        <v>645.33471287113616</v>
      </c>
      <c r="J113">
        <f ca="1">IF($C113-J$1&lt;År1,0,I112*(1-VLOOKUP($A113,[1]Hugst!$R$5:$W$9,MATCH(ROUNDUP((J$1)/10,0)*10,[1]Hugst!$R$4:$W$4,0))))</f>
        <v>645.22660806937347</v>
      </c>
      <c r="K113">
        <f ca="1">IF($C113-K$1&lt;År1,0,J112*(1-VLOOKUP($A113,[1]Hugst!$R$5:$W$9,MATCH(ROUNDUP((K$1)/10,0)*10,[1]Hugst!$R$4:$W$4,0))))</f>
        <v>645.12086374451246</v>
      </c>
      <c r="L113">
        <f ca="1">IF($C113-L$1&lt;År1,0,K112*(1-VLOOKUP($A113,[1]Hugst!$R$5:$W$9,MATCH(ROUNDUP((L$1)/10,0)*10,[1]Hugst!$R$4:$W$4,0))))</f>
        <v>645.01749619441398</v>
      </c>
      <c r="M113">
        <f ca="1">IF($C113-M$1&lt;År1,0,L112*(1-VLOOKUP($A113,[1]Hugst!$R$5:$W$9,MATCH(ROUNDUP((M$1)/10,0)*10,[1]Hugst!$R$4:$W$4,0))))</f>
        <v>644.9165218056005</v>
      </c>
      <c r="N113">
        <f ca="1">IF($C113-N$1&lt;År1,0,M112*(1-VLOOKUP($A113,[1]Hugst!$R$5:$W$9,MATCH(ROUNDUP((N$1)/10,0)*10,[1]Hugst!$R$4:$W$4,0))))</f>
        <v>948.22704796286098</v>
      </c>
      <c r="O113">
        <f ca="1">IF($C113-O$1&lt;År1,0,N112*(1-VLOOKUP($A113,[1]Hugst!$R$5:$W$9,MATCH(ROUNDUP((O$1)/10,0)*10,[1]Hugst!$R$4:$W$4,0))))</f>
        <v>948.13090941323208</v>
      </c>
      <c r="P113">
        <f ca="1">IF($C113-P$1&lt;År1,0,O112*(1-VLOOKUP($A113,[1]Hugst!$R$5:$W$9,MATCH(ROUNDUP((P$1)/10,0)*10,[1]Hugst!$R$4:$W$4,0))))</f>
        <v>948.05883259471932</v>
      </c>
      <c r="Q113">
        <f ca="1">IF($C113-Q$1&lt;År1,0,P112*(1-VLOOKUP($A113,[1]Hugst!$R$5:$W$9,MATCH(ROUNDUP((Q$1)/10,0)*10,[1]Hugst!$R$4:$W$4,0))))</f>
        <v>947.99166456617706</v>
      </c>
      <c r="R113">
        <f ca="1">IF($C113-R$1&lt;År1,0,Q112*(1-VLOOKUP($A113,[1]Hugst!$R$5:$W$9,MATCH(ROUNDUP((R$1)/10,0)*10,[1]Hugst!$R$4:$W$4,0))))</f>
        <v>947.92941459738051</v>
      </c>
      <c r="S113">
        <f ca="1">IF($C113-S$1&lt;År1,0,R112*(1-VLOOKUP($A113,[1]Hugst!$R$5:$W$9,MATCH(ROUNDUP((S$1)/10,0)*10,[1]Hugst!$R$4:$W$4,0))))</f>
        <v>947.87209200241</v>
      </c>
      <c r="T113">
        <f ca="1">IF($C113-T$1&lt;År1,0,S112*(1-VLOOKUP($A113,[1]Hugst!$R$5:$W$9,MATCH(ROUNDUP((T$1)/10,0)*10,[1]Hugst!$R$4:$W$4,0))))</f>
        <v>947.81970613994918</v>
      </c>
      <c r="U113">
        <f ca="1">IF($C113-U$1&lt;År1,0,T112*(1-VLOOKUP($A113,[1]Hugst!$R$5:$W$9,MATCH(ROUNDUP((U$1)/10,0)*10,[1]Hugst!$R$4:$W$4,0))))</f>
        <v>947.77226641326138</v>
      </c>
      <c r="V113">
        <f ca="1">IF($C113-V$1&lt;År1,0,U112*(1-VLOOKUP($A113,[1]Hugst!$R$5:$W$9,MATCH(ROUNDUP((V$1)/10,0)*10,[1]Hugst!$R$4:$W$4,0))))</f>
        <v>947.72978227045655</v>
      </c>
      <c r="W113">
        <f ca="1">IF($C113-W$1&lt;År1,0,V112*(1-VLOOKUP($A113,[1]Hugst!$R$5:$W$9,MATCH(ROUNDUP((W$1)/10,0)*10,[1]Hugst!$R$4:$W$4,0))))</f>
        <v>947.69226320452242</v>
      </c>
      <c r="X113">
        <f ca="1">IF($C113-X$1&lt;År1,0,W112*(1-VLOOKUP($A113,[1]Hugst!$R$5:$W$9,MATCH(ROUNDUP((X$1)/10,0)*10,[1]Hugst!$R$4:$W$4,0))))</f>
        <v>947.65971875354603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55000000000000004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14.458967771122843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645.79041396833281</v>
      </c>
      <c r="G114">
        <f ca="1">IF($C114-G$1&lt;År1,0,F113*(1-VLOOKUP($A114,[1]Hugst!$R$5:$W$9,MATCH(ROUNDUP((G$1)/10,0)*10,[1]Hugst!$R$4:$W$4,0))))</f>
        <v>645.67302847986821</v>
      </c>
      <c r="H114">
        <f ca="1">IF($C114-H$1&lt;År1,0,G113*(1-VLOOKUP($A114,[1]Hugst!$R$5:$W$9,MATCH(ROUNDUP((H$1)/10,0)*10,[1]Hugst!$R$4:$W$4,0))))</f>
        <v>645.55793915458844</v>
      </c>
      <c r="I114">
        <f ca="1">IF($C114-I$1&lt;År1,0,H113*(1-VLOOKUP($A114,[1]Hugst!$R$5:$W$9,MATCH(ROUNDUP((I$1)/10,0)*10,[1]Hugst!$R$4:$W$4,0))))</f>
        <v>645.44516194016023</v>
      </c>
      <c r="J114">
        <f ca="1">IF($C114-J$1&lt;År1,0,I113*(1-VLOOKUP($A114,[1]Hugst!$R$5:$W$9,MATCH(ROUNDUP((J$1)/10,0)*10,[1]Hugst!$R$4:$W$4,0))))</f>
        <v>645.33471287113616</v>
      </c>
      <c r="K114">
        <f ca="1">IF($C114-K$1&lt;År1,0,J113*(1-VLOOKUP($A114,[1]Hugst!$R$5:$W$9,MATCH(ROUNDUP((K$1)/10,0)*10,[1]Hugst!$R$4:$W$4,0))))</f>
        <v>645.22660806937347</v>
      </c>
      <c r="L114">
        <f ca="1">IF($C114-L$1&lt;År1,0,K113*(1-VLOOKUP($A114,[1]Hugst!$R$5:$W$9,MATCH(ROUNDUP((L$1)/10,0)*10,[1]Hugst!$R$4:$W$4,0))))</f>
        <v>645.12086374451246</v>
      </c>
      <c r="M114">
        <f ca="1">IF($C114-M$1&lt;År1,0,L113*(1-VLOOKUP($A114,[1]Hugst!$R$5:$W$9,MATCH(ROUNDUP((M$1)/10,0)*10,[1]Hugst!$R$4:$W$4,0))))</f>
        <v>645.01749619441398</v>
      </c>
      <c r="N114">
        <f ca="1">IF($C114-N$1&lt;År1,0,M113*(1-VLOOKUP($A114,[1]Hugst!$R$5:$W$9,MATCH(ROUNDUP((N$1)/10,0)*10,[1]Hugst!$R$4:$W$4,0))))</f>
        <v>644.9165218056005</v>
      </c>
      <c r="O114">
        <f ca="1">IF($C114-O$1&lt;År1,0,N113*(1-VLOOKUP($A114,[1]Hugst!$R$5:$W$9,MATCH(ROUNDUP((O$1)/10,0)*10,[1]Hugst!$R$4:$W$4,0))))</f>
        <v>948.22704796286098</v>
      </c>
      <c r="P114">
        <f ca="1">IF($C114-P$1&lt;År1,0,O113*(1-VLOOKUP($A114,[1]Hugst!$R$5:$W$9,MATCH(ROUNDUP((P$1)/10,0)*10,[1]Hugst!$R$4:$W$4,0))))</f>
        <v>946.68460802599157</v>
      </c>
      <c r="Q114">
        <f ca="1">IF($C114-Q$1&lt;År1,0,P113*(1-VLOOKUP($A114,[1]Hugst!$R$5:$W$9,MATCH(ROUNDUP((Q$1)/10,0)*10,[1]Hugst!$R$4:$W$4,0))))</f>
        <v>946.61264115516803</v>
      </c>
      <c r="R114">
        <f ca="1">IF($C114-R$1&lt;År1,0,Q113*(1-VLOOKUP($A114,[1]Hugst!$R$5:$W$9,MATCH(ROUNDUP((R$1)/10,0)*10,[1]Hugst!$R$4:$W$4,0))))</f>
        <v>946.5455755863303</v>
      </c>
      <c r="S114">
        <f ca="1">IF($C114-S$1&lt;År1,0,R113*(1-VLOOKUP($A114,[1]Hugst!$R$5:$W$9,MATCH(ROUNDUP((S$1)/10,0)*10,[1]Hugst!$R$4:$W$4,0))))</f>
        <v>946.48342057511331</v>
      </c>
      <c r="T114">
        <f ca="1">IF($C114-T$1&lt;År1,0,S113*(1-VLOOKUP($A114,[1]Hugst!$R$5:$W$9,MATCH(ROUNDUP((T$1)/10,0)*10,[1]Hugst!$R$4:$W$4,0))))</f>
        <v>946.42618542138939</v>
      </c>
      <c r="U114">
        <f ca="1">IF($C114-U$1&lt;År1,0,T113*(1-VLOOKUP($A114,[1]Hugst!$R$5:$W$9,MATCH(ROUNDUP((U$1)/10,0)*10,[1]Hugst!$R$4:$W$4,0))))</f>
        <v>946.37387946956619</v>
      </c>
      <c r="V114">
        <f ca="1">IF($C114-V$1&lt;År1,0,U113*(1-VLOOKUP($A114,[1]Hugst!$R$5:$W$9,MATCH(ROUNDUP((V$1)/10,0)*10,[1]Hugst!$R$4:$W$4,0))))</f>
        <v>946.32651210856318</v>
      </c>
      <c r="W114">
        <f ca="1">IF($C114-W$1&lt;År1,0,V113*(1-VLOOKUP($A114,[1]Hugst!$R$5:$W$9,MATCH(ROUNDUP((W$1)/10,0)*10,[1]Hugst!$R$4:$W$4,0))))</f>
        <v>946.28409277207788</v>
      </c>
      <c r="X114">
        <f ca="1">IF($C114-X$1&lt;År1,0,W113*(1-VLOOKUP($A114,[1]Hugst!$R$5:$W$9,MATCH(ROUNDUP((X$1)/10,0)*10,[1]Hugst!$R$4:$W$4,0))))</f>
        <v>946.24663093861716</v>
      </c>
      <c r="Y114">
        <f ca="1">IF($C114-Y$1&lt;År1,0,X113*(1-VLOOKUP($A114,[1]Hugst!$R$5:$W$9,MATCH(ROUNDUP((Y$1)/10,0)*10,[1]Hugst!$R$4:$W$4,0))))</f>
        <v>946.21413613171853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55000000000000004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16.083828854487365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646.1127844873804</v>
      </c>
      <c r="G115">
        <f ca="1">IF($C115-G$1&lt;År1,0,F114*(1-VLOOKUP($A115,[1]Hugst!$R$5:$W$9,MATCH(ROUNDUP((G$1)/10,0)*10,[1]Hugst!$R$4:$W$4,0))))</f>
        <v>645.79041396833281</v>
      </c>
      <c r="H115">
        <f ca="1">IF($C115-H$1&lt;År1,0,G114*(1-VLOOKUP($A115,[1]Hugst!$R$5:$W$9,MATCH(ROUNDUP((H$1)/10,0)*10,[1]Hugst!$R$4:$W$4,0))))</f>
        <v>645.67302847986821</v>
      </c>
      <c r="I115">
        <f ca="1">IF($C115-I$1&lt;År1,0,H114*(1-VLOOKUP($A115,[1]Hugst!$R$5:$W$9,MATCH(ROUNDUP((I$1)/10,0)*10,[1]Hugst!$R$4:$W$4,0))))</f>
        <v>645.55793915458844</v>
      </c>
      <c r="J115">
        <f ca="1">IF($C115-J$1&lt;År1,0,I114*(1-VLOOKUP($A115,[1]Hugst!$R$5:$W$9,MATCH(ROUNDUP((J$1)/10,0)*10,[1]Hugst!$R$4:$W$4,0))))</f>
        <v>645.44516194016023</v>
      </c>
      <c r="K115">
        <f ca="1">IF($C115-K$1&lt;År1,0,J114*(1-VLOOKUP($A115,[1]Hugst!$R$5:$W$9,MATCH(ROUNDUP((K$1)/10,0)*10,[1]Hugst!$R$4:$W$4,0))))</f>
        <v>645.33471287113616</v>
      </c>
      <c r="L115">
        <f ca="1">IF($C115-L$1&lt;År1,0,K114*(1-VLOOKUP($A115,[1]Hugst!$R$5:$W$9,MATCH(ROUNDUP((L$1)/10,0)*10,[1]Hugst!$R$4:$W$4,0))))</f>
        <v>645.22660806937347</v>
      </c>
      <c r="M115">
        <f ca="1">IF($C115-M$1&lt;År1,0,L114*(1-VLOOKUP($A115,[1]Hugst!$R$5:$W$9,MATCH(ROUNDUP((M$1)/10,0)*10,[1]Hugst!$R$4:$W$4,0))))</f>
        <v>645.12086374451246</v>
      </c>
      <c r="N115">
        <f ca="1">IF($C115-N$1&lt;År1,0,M114*(1-VLOOKUP($A115,[1]Hugst!$R$5:$W$9,MATCH(ROUNDUP((N$1)/10,0)*10,[1]Hugst!$R$4:$W$4,0))))</f>
        <v>645.01749619441398</v>
      </c>
      <c r="O115">
        <f ca="1">IF($C115-O$1&lt;År1,0,N114*(1-VLOOKUP($A115,[1]Hugst!$R$5:$W$9,MATCH(ROUNDUP((O$1)/10,0)*10,[1]Hugst!$R$4:$W$4,0))))</f>
        <v>644.9165218056005</v>
      </c>
      <c r="P115">
        <f ca="1">IF($C115-P$1&lt;År1,0,O114*(1-VLOOKUP($A115,[1]Hugst!$R$5:$W$9,MATCH(ROUNDUP((P$1)/10,0)*10,[1]Hugst!$R$4:$W$4,0))))</f>
        <v>946.78059992359556</v>
      </c>
      <c r="Q115">
        <f ca="1">IF($C115-Q$1&lt;År1,0,P114*(1-VLOOKUP($A115,[1]Hugst!$R$5:$W$9,MATCH(ROUNDUP((Q$1)/10,0)*10,[1]Hugst!$R$4:$W$4,0))))</f>
        <v>945.24051286120607</v>
      </c>
      <c r="R115">
        <f ca="1">IF($C115-R$1&lt;År1,0,Q114*(1-VLOOKUP($A115,[1]Hugst!$R$5:$W$9,MATCH(ROUNDUP((R$1)/10,0)*10,[1]Hugst!$R$4:$W$4,0))))</f>
        <v>945.16865577035503</v>
      </c>
      <c r="S115">
        <f ca="1">IF($C115-S$1&lt;År1,0,R114*(1-VLOOKUP($A115,[1]Hugst!$R$5:$W$9,MATCH(ROUNDUP((S$1)/10,0)*10,[1]Hugst!$R$4:$W$4,0))))</f>
        <v>945.10169250492743</v>
      </c>
      <c r="T115">
        <f ca="1">IF($C115-T$1&lt;År1,0,S114*(1-VLOOKUP($A115,[1]Hugst!$R$5:$W$9,MATCH(ROUNDUP((T$1)/10,0)*10,[1]Hugst!$R$4:$W$4,0))))</f>
        <v>945.03963230643933</v>
      </c>
      <c r="U115">
        <f ca="1">IF($C115-U$1&lt;År1,0,T114*(1-VLOOKUP($A115,[1]Hugst!$R$5:$W$9,MATCH(ROUNDUP((U$1)/10,0)*10,[1]Hugst!$R$4:$W$4,0))))</f>
        <v>944.9824844605771</v>
      </c>
      <c r="V115">
        <f ca="1">IF($C115-V$1&lt;År1,0,U114*(1-VLOOKUP($A115,[1]Hugst!$R$5:$W$9,MATCH(ROUNDUP((V$1)/10,0)*10,[1]Hugst!$R$4:$W$4,0))))</f>
        <v>944.93025829749399</v>
      </c>
      <c r="W115">
        <f ca="1">IF($C115-W$1&lt;År1,0,V114*(1-VLOOKUP($A115,[1]Hugst!$R$5:$W$9,MATCH(ROUNDUP((W$1)/10,0)*10,[1]Hugst!$R$4:$W$4,0))))</f>
        <v>944.88296319178733</v>
      </c>
      <c r="X115">
        <f ca="1">IF($C115-X$1&lt;År1,0,W114*(1-VLOOKUP($A115,[1]Hugst!$R$5:$W$9,MATCH(ROUNDUP((X$1)/10,0)*10,[1]Hugst!$R$4:$W$4,0))))</f>
        <v>944.84060856276449</v>
      </c>
      <c r="Y115">
        <f ca="1">IF($C115-Y$1&lt;År1,0,X114*(1-VLOOKUP($A115,[1]Hugst!$R$5:$W$9,MATCH(ROUNDUP((Y$1)/10,0)*10,[1]Hugst!$R$4:$W$4,0))))</f>
        <v>944.80320387447352</v>
      </c>
      <c r="Z115">
        <f ca="1">IF($C115-Z$1&lt;År1,0,Y114*(1-VLOOKUP($A115,[1]Hugst!$R$5:$W$9,MATCH(ROUNDUP((Z$1)/10,0)*10,[1]Hugst!$R$4:$W$4,0))))</f>
        <v>944.57028953928625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55000000000000004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17.242887063501257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645.97586458490014</v>
      </c>
      <c r="G116">
        <f ca="1">IF($C116-G$1&lt;År1,0,F115*(1-VLOOKUP($A116,[1]Hugst!$R$5:$W$9,MATCH(ROUNDUP((G$1)/10,0)*10,[1]Hugst!$R$4:$W$4,0))))</f>
        <v>646.1127844873804</v>
      </c>
      <c r="H116">
        <f ca="1">IF($C116-H$1&lt;År1,0,G115*(1-VLOOKUP($A116,[1]Hugst!$R$5:$W$9,MATCH(ROUNDUP((H$1)/10,0)*10,[1]Hugst!$R$4:$W$4,0))))</f>
        <v>645.79041396833281</v>
      </c>
      <c r="I116">
        <f ca="1">IF($C116-I$1&lt;År1,0,H115*(1-VLOOKUP($A116,[1]Hugst!$R$5:$W$9,MATCH(ROUNDUP((I$1)/10,0)*10,[1]Hugst!$R$4:$W$4,0))))</f>
        <v>645.67302847986821</v>
      </c>
      <c r="J116">
        <f ca="1">IF($C116-J$1&lt;År1,0,I115*(1-VLOOKUP($A116,[1]Hugst!$R$5:$W$9,MATCH(ROUNDUP((J$1)/10,0)*10,[1]Hugst!$R$4:$W$4,0))))</f>
        <v>645.55793915458844</v>
      </c>
      <c r="K116">
        <f ca="1">IF($C116-K$1&lt;År1,0,J115*(1-VLOOKUP($A116,[1]Hugst!$R$5:$W$9,MATCH(ROUNDUP((K$1)/10,0)*10,[1]Hugst!$R$4:$W$4,0))))</f>
        <v>645.44516194016023</v>
      </c>
      <c r="L116">
        <f ca="1">IF($C116-L$1&lt;År1,0,K115*(1-VLOOKUP($A116,[1]Hugst!$R$5:$W$9,MATCH(ROUNDUP((L$1)/10,0)*10,[1]Hugst!$R$4:$W$4,0))))</f>
        <v>645.33471287113616</v>
      </c>
      <c r="M116">
        <f ca="1">IF($C116-M$1&lt;År1,0,L115*(1-VLOOKUP($A116,[1]Hugst!$R$5:$W$9,MATCH(ROUNDUP((M$1)/10,0)*10,[1]Hugst!$R$4:$W$4,0))))</f>
        <v>645.22660806937347</v>
      </c>
      <c r="N116">
        <f ca="1">IF($C116-N$1&lt;År1,0,M115*(1-VLOOKUP($A116,[1]Hugst!$R$5:$W$9,MATCH(ROUNDUP((N$1)/10,0)*10,[1]Hugst!$R$4:$W$4,0))))</f>
        <v>645.12086374451246</v>
      </c>
      <c r="O116">
        <f ca="1">IF($C116-O$1&lt;År1,0,N115*(1-VLOOKUP($A116,[1]Hugst!$R$5:$W$9,MATCH(ROUNDUP((O$1)/10,0)*10,[1]Hugst!$R$4:$W$4,0))))</f>
        <v>645.01749619441398</v>
      </c>
      <c r="P116">
        <f ca="1">IF($C116-P$1&lt;År1,0,O115*(1-VLOOKUP($A116,[1]Hugst!$R$5:$W$9,MATCH(ROUNDUP((P$1)/10,0)*10,[1]Hugst!$R$4:$W$4,0))))</f>
        <v>643.9327508401343</v>
      </c>
      <c r="Q116">
        <f ca="1">IF($C116-Q$1&lt;År1,0,P115*(1-VLOOKUP($A116,[1]Hugst!$R$5:$W$9,MATCH(ROUNDUP((Q$1)/10,0)*10,[1]Hugst!$R$4:$W$4,0))))</f>
        <v>945.33635833049175</v>
      </c>
      <c r="R116">
        <f ca="1">IF($C116-R$1&lt;År1,0,Q115*(1-VLOOKUP($A116,[1]Hugst!$R$5:$W$9,MATCH(ROUNDUP((R$1)/10,0)*10,[1]Hugst!$R$4:$W$4,0))))</f>
        <v>943.79862055345166</v>
      </c>
      <c r="S116">
        <f ca="1">IF($C116-S$1&lt;År1,0,R115*(1-VLOOKUP($A116,[1]Hugst!$R$5:$W$9,MATCH(ROUNDUP((S$1)/10,0)*10,[1]Hugst!$R$4:$W$4,0))))</f>
        <v>943.72687307511205</v>
      </c>
      <c r="T116">
        <f ca="1">IF($C116-T$1&lt;År1,0,S115*(1-VLOOKUP($A116,[1]Hugst!$R$5:$W$9,MATCH(ROUNDUP((T$1)/10,0)*10,[1]Hugst!$R$4:$W$4,0))))</f>
        <v>943.66001195703848</v>
      </c>
      <c r="U116">
        <f ca="1">IF($C116-U$1&lt;År1,0,T115*(1-VLOOKUP($A116,[1]Hugst!$R$5:$W$9,MATCH(ROUNDUP((U$1)/10,0)*10,[1]Hugst!$R$4:$W$4,0))))</f>
        <v>943.59804642664983</v>
      </c>
      <c r="V116">
        <f ca="1">IF($C116-V$1&lt;År1,0,U115*(1-VLOOKUP($A116,[1]Hugst!$R$5:$W$9,MATCH(ROUNDUP((V$1)/10,0)*10,[1]Hugst!$R$4:$W$4,0))))</f>
        <v>943.54098575546766</v>
      </c>
      <c r="W116">
        <f ca="1">IF($C116-W$1&lt;År1,0,V115*(1-VLOOKUP($A116,[1]Hugst!$R$5:$W$9,MATCH(ROUNDUP((W$1)/10,0)*10,[1]Hugst!$R$4:$W$4,0))))</f>
        <v>943.488839259413</v>
      </c>
      <c r="X116">
        <f ca="1">IF($C116-X$1&lt;År1,0,W115*(1-VLOOKUP($A116,[1]Hugst!$R$5:$W$9,MATCH(ROUNDUP((X$1)/10,0)*10,[1]Hugst!$R$4:$W$4,0))))</f>
        <v>943.44161629878283</v>
      </c>
      <c r="Y116">
        <f ca="1">IF($C116-Y$1&lt;År1,0,X115*(1-VLOOKUP($A116,[1]Hugst!$R$5:$W$9,MATCH(ROUNDUP((Y$1)/10,0)*10,[1]Hugst!$R$4:$W$4,0))))</f>
        <v>943.39932627851613</v>
      </c>
      <c r="Z116">
        <f ca="1">IF($C116-Z$1&lt;År1,0,Y115*(1-VLOOKUP($A116,[1]Hugst!$R$5:$W$9,MATCH(ROUNDUP((Z$1)/10,0)*10,[1]Hugst!$R$4:$W$4,0))))</f>
        <v>943.1618084779119</v>
      </c>
      <c r="AA116">
        <f ca="1">IF($C116-AA$1&lt;År1,0,Z115*(1-VLOOKUP($A116,[1]Hugst!$R$5:$W$9,MATCH(ROUNDUP((AA$1)/10,0)*10,[1]Hugst!$R$4:$W$4,0))))</f>
        <v>942.92929878203574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55000000000000004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18.399686666441994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645.84316596689814</v>
      </c>
      <c r="G117">
        <f ca="1">IF($C117-G$1&lt;År1,0,F116*(1-VLOOKUP($A117,[1]Hugst!$R$5:$W$9,MATCH(ROUNDUP((G$1)/10,0)*10,[1]Hugst!$R$4:$W$4,0))))</f>
        <v>645.97586458490014</v>
      </c>
      <c r="H117">
        <f ca="1">IF($C117-H$1&lt;År1,0,G116*(1-VLOOKUP($A117,[1]Hugst!$R$5:$W$9,MATCH(ROUNDUP((H$1)/10,0)*10,[1]Hugst!$R$4:$W$4,0))))</f>
        <v>646.1127844873804</v>
      </c>
      <c r="I117">
        <f ca="1">IF($C117-I$1&lt;År1,0,H116*(1-VLOOKUP($A117,[1]Hugst!$R$5:$W$9,MATCH(ROUNDUP((I$1)/10,0)*10,[1]Hugst!$R$4:$W$4,0))))</f>
        <v>645.79041396833281</v>
      </c>
      <c r="J117">
        <f ca="1">IF($C117-J$1&lt;År1,0,I116*(1-VLOOKUP($A117,[1]Hugst!$R$5:$W$9,MATCH(ROUNDUP((J$1)/10,0)*10,[1]Hugst!$R$4:$W$4,0))))</f>
        <v>645.67302847986821</v>
      </c>
      <c r="K117">
        <f ca="1">IF($C117-K$1&lt;År1,0,J116*(1-VLOOKUP($A117,[1]Hugst!$R$5:$W$9,MATCH(ROUNDUP((K$1)/10,0)*10,[1]Hugst!$R$4:$W$4,0))))</f>
        <v>645.55793915458844</v>
      </c>
      <c r="L117">
        <f ca="1">IF($C117-L$1&lt;År1,0,K116*(1-VLOOKUP($A117,[1]Hugst!$R$5:$W$9,MATCH(ROUNDUP((L$1)/10,0)*10,[1]Hugst!$R$4:$W$4,0))))</f>
        <v>645.44516194016023</v>
      </c>
      <c r="M117">
        <f ca="1">IF($C117-M$1&lt;År1,0,L116*(1-VLOOKUP($A117,[1]Hugst!$R$5:$W$9,MATCH(ROUNDUP((M$1)/10,0)*10,[1]Hugst!$R$4:$W$4,0))))</f>
        <v>645.33471287113616</v>
      </c>
      <c r="N117">
        <f ca="1">IF($C117-N$1&lt;År1,0,M116*(1-VLOOKUP($A117,[1]Hugst!$R$5:$W$9,MATCH(ROUNDUP((N$1)/10,0)*10,[1]Hugst!$R$4:$W$4,0))))</f>
        <v>645.22660806937347</v>
      </c>
      <c r="O117">
        <f ca="1">IF($C117-O$1&lt;År1,0,N116*(1-VLOOKUP($A117,[1]Hugst!$R$5:$W$9,MATCH(ROUNDUP((O$1)/10,0)*10,[1]Hugst!$R$4:$W$4,0))))</f>
        <v>645.12086374451246</v>
      </c>
      <c r="P117">
        <f ca="1">IF($C117-P$1&lt;År1,0,O116*(1-VLOOKUP($A117,[1]Hugst!$R$5:$W$9,MATCH(ROUNDUP((P$1)/10,0)*10,[1]Hugst!$R$4:$W$4,0))))</f>
        <v>644.03357120021906</v>
      </c>
      <c r="Q117">
        <f ca="1">IF($C117-Q$1&lt;År1,0,P116*(1-VLOOKUP($A117,[1]Hugst!$R$5:$W$9,MATCH(ROUNDUP((Q$1)/10,0)*10,[1]Hugst!$R$4:$W$4,0))))</f>
        <v>642.95048054224253</v>
      </c>
      <c r="R117">
        <f ca="1">IF($C117-R$1&lt;År1,0,Q116*(1-VLOOKUP($A117,[1]Hugst!$R$5:$W$9,MATCH(ROUNDUP((R$1)/10,0)*10,[1]Hugst!$R$4:$W$4,0))))</f>
        <v>943.89431981778421</v>
      </c>
      <c r="S117">
        <f ca="1">IF($C117-S$1&lt;År1,0,R116*(1-VLOOKUP($A117,[1]Hugst!$R$5:$W$9,MATCH(ROUNDUP((S$1)/10,0)*10,[1]Hugst!$R$4:$W$4,0))))</f>
        <v>942.35892774243791</v>
      </c>
      <c r="T117">
        <f ca="1">IF($C117-T$1&lt;År1,0,S116*(1-VLOOKUP($A117,[1]Hugst!$R$5:$W$9,MATCH(ROUNDUP((T$1)/10,0)*10,[1]Hugst!$R$4:$W$4,0))))</f>
        <v>942.28728970940426</v>
      </c>
      <c r="U117">
        <f ca="1">IF($C117-U$1&lt;År1,0,T116*(1-VLOOKUP($A117,[1]Hugst!$R$5:$W$9,MATCH(ROUNDUP((U$1)/10,0)*10,[1]Hugst!$R$4:$W$4,0))))</f>
        <v>942.22053058286667</v>
      </c>
      <c r="V117">
        <f ca="1">IF($C117-V$1&lt;År1,0,U116*(1-VLOOKUP($A117,[1]Hugst!$R$5:$W$9,MATCH(ROUNDUP((V$1)/10,0)*10,[1]Hugst!$R$4:$W$4,0))))</f>
        <v>942.15865957616847</v>
      </c>
      <c r="W117">
        <f ca="1">IF($C117-W$1&lt;År1,0,V116*(1-VLOOKUP($A117,[1]Hugst!$R$5:$W$9,MATCH(ROUNDUP((W$1)/10,0)*10,[1]Hugst!$R$4:$W$4,0))))</f>
        <v>942.10168594668812</v>
      </c>
      <c r="X117">
        <f ca="1">IF($C117-X$1&lt;År1,0,W116*(1-VLOOKUP($A117,[1]Hugst!$R$5:$W$9,MATCH(ROUNDUP((X$1)/10,0)*10,[1]Hugst!$R$4:$W$4,0))))</f>
        <v>942.04961899613591</v>
      </c>
      <c r="Y117">
        <f ca="1">IF($C117-Y$1&lt;År1,0,X116*(1-VLOOKUP($A117,[1]Hugst!$R$5:$W$9,MATCH(ROUNDUP((Y$1)/10,0)*10,[1]Hugst!$R$4:$W$4,0))))</f>
        <v>942.00246807053043</v>
      </c>
      <c r="Z117">
        <f ca="1">IF($C117-Z$1&lt;År1,0,Y116*(1-VLOOKUP($A117,[1]Hugst!$R$5:$W$9,MATCH(ROUNDUP((Z$1)/10,0)*10,[1]Hugst!$R$4:$W$4,0))))</f>
        <v>941.76036982184576</v>
      </c>
      <c r="AA117">
        <f ca="1">IF($C117-AA$1&lt;År1,0,Z116*(1-VLOOKUP($A117,[1]Hugst!$R$5:$W$9,MATCH(ROUNDUP((AA$1)/10,0)*10,[1]Hugst!$R$4:$W$4,0))))</f>
        <v>941.52326465809858</v>
      </c>
      <c r="AB117">
        <f ca="1">IF($C117-AB$1&lt;År1,0,AA116*(1-VLOOKUP($A117,[1]Hugst!$R$5:$W$9,MATCH(ROUNDUP((AB$1)/10,0)*10,[1]Hugst!$R$4:$W$4,0))))</f>
        <v>941.29115889855848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55000000000000004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19.554237366199231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645.71466593682226</v>
      </c>
      <c r="G118">
        <f ca="1">IF($C118-G$1&lt;År1,0,F117*(1-VLOOKUP($A118,[1]Hugst!$R$5:$W$9,MATCH(ROUNDUP((G$1)/10,0)*10,[1]Hugst!$R$4:$W$4,0))))</f>
        <v>645.84316596689814</v>
      </c>
      <c r="H118">
        <f ca="1">IF($C118-H$1&lt;År1,0,G117*(1-VLOOKUP($A118,[1]Hugst!$R$5:$W$9,MATCH(ROUNDUP((H$1)/10,0)*10,[1]Hugst!$R$4:$W$4,0))))</f>
        <v>645.97586458490014</v>
      </c>
      <c r="I118">
        <f ca="1">IF($C118-I$1&lt;År1,0,H117*(1-VLOOKUP($A118,[1]Hugst!$R$5:$W$9,MATCH(ROUNDUP((I$1)/10,0)*10,[1]Hugst!$R$4:$W$4,0))))</f>
        <v>646.1127844873804</v>
      </c>
      <c r="J118">
        <f ca="1">IF($C118-J$1&lt;År1,0,I117*(1-VLOOKUP($A118,[1]Hugst!$R$5:$W$9,MATCH(ROUNDUP((J$1)/10,0)*10,[1]Hugst!$R$4:$W$4,0))))</f>
        <v>645.79041396833281</v>
      </c>
      <c r="K118">
        <f ca="1">IF($C118-K$1&lt;År1,0,J117*(1-VLOOKUP($A118,[1]Hugst!$R$5:$W$9,MATCH(ROUNDUP((K$1)/10,0)*10,[1]Hugst!$R$4:$W$4,0))))</f>
        <v>645.67302847986821</v>
      </c>
      <c r="L118">
        <f ca="1">IF($C118-L$1&lt;År1,0,K117*(1-VLOOKUP($A118,[1]Hugst!$R$5:$W$9,MATCH(ROUNDUP((L$1)/10,0)*10,[1]Hugst!$R$4:$W$4,0))))</f>
        <v>645.55793915458844</v>
      </c>
      <c r="M118">
        <f ca="1">IF($C118-M$1&lt;År1,0,L117*(1-VLOOKUP($A118,[1]Hugst!$R$5:$W$9,MATCH(ROUNDUP((M$1)/10,0)*10,[1]Hugst!$R$4:$W$4,0))))</f>
        <v>645.44516194016023</v>
      </c>
      <c r="N118">
        <f ca="1">IF($C118-N$1&lt;År1,0,M117*(1-VLOOKUP($A118,[1]Hugst!$R$5:$W$9,MATCH(ROUNDUP((N$1)/10,0)*10,[1]Hugst!$R$4:$W$4,0))))</f>
        <v>645.33471287113616</v>
      </c>
      <c r="O118">
        <f ca="1">IF($C118-O$1&lt;År1,0,N117*(1-VLOOKUP($A118,[1]Hugst!$R$5:$W$9,MATCH(ROUNDUP((O$1)/10,0)*10,[1]Hugst!$R$4:$W$4,0))))</f>
        <v>645.22660806937347</v>
      </c>
      <c r="P118">
        <f ca="1">IF($C118-P$1&lt;År1,0,O117*(1-VLOOKUP($A118,[1]Hugst!$R$5:$W$9,MATCH(ROUNDUP((P$1)/10,0)*10,[1]Hugst!$R$4:$W$4,0))))</f>
        <v>644.13678107100384</v>
      </c>
      <c r="Q118">
        <f ca="1">IF($C118-Q$1&lt;År1,0,P117*(1-VLOOKUP($A118,[1]Hugst!$R$5:$W$9,MATCH(ROUNDUP((Q$1)/10,0)*10,[1]Hugst!$R$4:$W$4,0))))</f>
        <v>643.05114710855764</v>
      </c>
      <c r="R118">
        <f ca="1">IF($C118-R$1&lt;År1,0,Q117*(1-VLOOKUP($A118,[1]Hugst!$R$5:$W$9,MATCH(ROUNDUP((R$1)/10,0)*10,[1]Hugst!$R$4:$W$4,0))))</f>
        <v>641.96970862277135</v>
      </c>
      <c r="S118">
        <f ca="1">IF($C118-S$1&lt;År1,0,R117*(1-VLOOKUP($A118,[1]Hugst!$R$5:$W$9,MATCH(ROUNDUP((S$1)/10,0)*10,[1]Hugst!$R$4:$W$4,0))))</f>
        <v>942.45448102484181</v>
      </c>
      <c r="T118">
        <f ca="1">IF($C118-T$1&lt;År1,0,S117*(1-VLOOKUP($A118,[1]Hugst!$R$5:$W$9,MATCH(ROUNDUP((T$1)/10,0)*10,[1]Hugst!$R$4:$W$4,0))))</f>
        <v>940.92143107300024</v>
      </c>
      <c r="U118">
        <f ca="1">IF($C118-U$1&lt;År1,0,T117*(1-VLOOKUP($A118,[1]Hugst!$R$5:$W$9,MATCH(ROUNDUP((U$1)/10,0)*10,[1]Hugst!$R$4:$W$4,0))))</f>
        <v>940.84990231832205</v>
      </c>
      <c r="V118">
        <f ca="1">IF($C118-V$1&lt;År1,0,U117*(1-VLOOKUP($A118,[1]Hugst!$R$5:$W$9,MATCH(ROUNDUP((V$1)/10,0)*10,[1]Hugst!$R$4:$W$4,0))))</f>
        <v>940.78324502774024</v>
      </c>
      <c r="W118">
        <f ca="1">IF($C118-W$1&lt;År1,0,V117*(1-VLOOKUP($A118,[1]Hugst!$R$5:$W$9,MATCH(ROUNDUP((W$1)/10,0)*10,[1]Hugst!$R$4:$W$4,0))))</f>
        <v>940.72146840054381</v>
      </c>
      <c r="X118">
        <f ca="1">IF($C118-X$1&lt;År1,0,W117*(1-VLOOKUP($A118,[1]Hugst!$R$5:$W$9,MATCH(ROUNDUP((X$1)/10,0)*10,[1]Hugst!$R$4:$W$4,0))))</f>
        <v>940.66458167998974</v>
      </c>
      <c r="Y118">
        <f ca="1">IF($C118-Y$1&lt;År1,0,X117*(1-VLOOKUP($A118,[1]Hugst!$R$5:$W$9,MATCH(ROUNDUP((Y$1)/10,0)*10,[1]Hugst!$R$4:$W$4,0))))</f>
        <v>940.61259415359939</v>
      </c>
      <c r="Z118">
        <f ca="1">IF($C118-Z$1&lt;År1,0,Y117*(1-VLOOKUP($A118,[1]Hugst!$R$5:$W$9,MATCH(ROUNDUP((Z$1)/10,0)*10,[1]Hugst!$R$4:$W$4,0))))</f>
        <v>940.36593835905194</v>
      </c>
      <c r="AA118">
        <f ca="1">IF($C118-AA$1&lt;År1,0,Z117*(1-VLOOKUP($A118,[1]Hugst!$R$5:$W$9,MATCH(ROUNDUP((AA$1)/10,0)*10,[1]Hugst!$R$4:$W$4,0))))</f>
        <v>940.12426070478239</v>
      </c>
      <c r="AB118">
        <f ca="1">IF($C118-AB$1&lt;År1,0,AA117*(1-VLOOKUP($A118,[1]Hugst!$R$5:$W$9,MATCH(ROUNDUP((AB$1)/10,0)*10,[1]Hugst!$R$4:$W$4,0))))</f>
        <v>939.88756746102308</v>
      </c>
      <c r="AC118">
        <f ca="1">IF($C118-AC$1&lt;År1,0,AB117*(1-VLOOKUP($A118,[1]Hugst!$R$5:$W$9,MATCH(ROUNDUP((AC$1)/10,0)*10,[1]Hugst!$R$4:$W$4,0))))</f>
        <v>939.6558649360652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55000000000000004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20.706548813916015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645.59034190834655</v>
      </c>
      <c r="G119">
        <f ca="1">IF($C119-G$1&lt;År1,0,F118*(1-VLOOKUP($A119,[1]Hugst!$R$5:$W$9,MATCH(ROUNDUP((G$1)/10,0)*10,[1]Hugst!$R$4:$W$4,0))))</f>
        <v>645.71466593682226</v>
      </c>
      <c r="H119">
        <f ca="1">IF($C119-H$1&lt;År1,0,G118*(1-VLOOKUP($A119,[1]Hugst!$R$5:$W$9,MATCH(ROUNDUP((H$1)/10,0)*10,[1]Hugst!$R$4:$W$4,0))))</f>
        <v>645.84316596689814</v>
      </c>
      <c r="I119">
        <f ca="1">IF($C119-I$1&lt;År1,0,H118*(1-VLOOKUP($A119,[1]Hugst!$R$5:$W$9,MATCH(ROUNDUP((I$1)/10,0)*10,[1]Hugst!$R$4:$W$4,0))))</f>
        <v>645.97586458490014</v>
      </c>
      <c r="J119">
        <f ca="1">IF($C119-J$1&lt;År1,0,I118*(1-VLOOKUP($A119,[1]Hugst!$R$5:$W$9,MATCH(ROUNDUP((J$1)/10,0)*10,[1]Hugst!$R$4:$W$4,0))))</f>
        <v>646.1127844873804</v>
      </c>
      <c r="K119">
        <f ca="1">IF($C119-K$1&lt;År1,0,J118*(1-VLOOKUP($A119,[1]Hugst!$R$5:$W$9,MATCH(ROUNDUP((K$1)/10,0)*10,[1]Hugst!$R$4:$W$4,0))))</f>
        <v>645.79041396833281</v>
      </c>
      <c r="L119">
        <f ca="1">IF($C119-L$1&lt;År1,0,K118*(1-VLOOKUP($A119,[1]Hugst!$R$5:$W$9,MATCH(ROUNDUP((L$1)/10,0)*10,[1]Hugst!$R$4:$W$4,0))))</f>
        <v>645.67302847986821</v>
      </c>
      <c r="M119">
        <f ca="1">IF($C119-M$1&lt;År1,0,L118*(1-VLOOKUP($A119,[1]Hugst!$R$5:$W$9,MATCH(ROUNDUP((M$1)/10,0)*10,[1]Hugst!$R$4:$W$4,0))))</f>
        <v>645.55793915458844</v>
      </c>
      <c r="N119">
        <f ca="1">IF($C119-N$1&lt;År1,0,M118*(1-VLOOKUP($A119,[1]Hugst!$R$5:$W$9,MATCH(ROUNDUP((N$1)/10,0)*10,[1]Hugst!$R$4:$W$4,0))))</f>
        <v>645.44516194016023</v>
      </c>
      <c r="O119">
        <f ca="1">IF($C119-O$1&lt;År1,0,N118*(1-VLOOKUP($A119,[1]Hugst!$R$5:$W$9,MATCH(ROUNDUP((O$1)/10,0)*10,[1]Hugst!$R$4:$W$4,0))))</f>
        <v>645.33471287113616</v>
      </c>
      <c r="P119">
        <f ca="1">IF($C119-P$1&lt;År1,0,O118*(1-VLOOKUP($A119,[1]Hugst!$R$5:$W$9,MATCH(ROUNDUP((P$1)/10,0)*10,[1]Hugst!$R$4:$W$4,0))))</f>
        <v>644.2423640909625</v>
      </c>
      <c r="Q119">
        <f ca="1">IF($C119-Q$1&lt;År1,0,P118*(1-VLOOKUP($A119,[1]Hugst!$R$5:$W$9,MATCH(ROUNDUP((Q$1)/10,0)*10,[1]Hugst!$R$4:$W$4,0))))</f>
        <v>643.15419954055653</v>
      </c>
      <c r="R119">
        <f ca="1">IF($C119-R$1&lt;År1,0,Q118*(1-VLOOKUP($A119,[1]Hugst!$R$5:$W$9,MATCH(ROUNDUP((R$1)/10,0)*10,[1]Hugst!$R$4:$W$4,0))))</f>
        <v>642.07022162991746</v>
      </c>
      <c r="S119">
        <f ca="1">IF($C119-S$1&lt;År1,0,R118*(1-VLOOKUP($A119,[1]Hugst!$R$5:$W$9,MATCH(ROUNDUP((S$1)/10,0)*10,[1]Hugst!$R$4:$W$4,0))))</f>
        <v>640.9904327960586</v>
      </c>
      <c r="T119">
        <f ca="1">IF($C119-T$1&lt;År1,0,S118*(1-VLOOKUP($A119,[1]Hugst!$R$5:$W$9,MATCH(ROUNDUP((T$1)/10,0)*10,[1]Hugst!$R$4:$W$4,0))))</f>
        <v>941.0168385961598</v>
      </c>
      <c r="U119">
        <f ca="1">IF($C119-U$1&lt;År1,0,T118*(1-VLOOKUP($A119,[1]Hugst!$R$5:$W$9,MATCH(ROUNDUP((U$1)/10,0)*10,[1]Hugst!$R$4:$W$4,0))))</f>
        <v>939.48612719509219</v>
      </c>
      <c r="V119">
        <f ca="1">IF($C119-V$1&lt;År1,0,U118*(1-VLOOKUP($A119,[1]Hugst!$R$5:$W$9,MATCH(ROUNDUP((V$1)/10,0)*10,[1]Hugst!$R$4:$W$4,0))))</f>
        <v>939.41470755207376</v>
      </c>
      <c r="W119">
        <f ca="1">IF($C119-W$1&lt;År1,0,V118*(1-VLOOKUP($A119,[1]Hugst!$R$5:$W$9,MATCH(ROUNDUP((W$1)/10,0)*10,[1]Hugst!$R$4:$W$4,0))))</f>
        <v>939.34815194210466</v>
      </c>
      <c r="X119">
        <f ca="1">IF($C119-X$1&lt;År1,0,W118*(1-VLOOKUP($A119,[1]Hugst!$R$5:$W$9,MATCH(ROUNDUP((X$1)/10,0)*10,[1]Hugst!$R$4:$W$4,0))))</f>
        <v>939.28646955044121</v>
      </c>
      <c r="Y119">
        <f ca="1">IF($C119-Y$1&lt;År1,0,X118*(1-VLOOKUP($A119,[1]Hugst!$R$5:$W$9,MATCH(ROUNDUP((Y$1)/10,0)*10,[1]Hugst!$R$4:$W$4,0))))</f>
        <v>939.22966960624058</v>
      </c>
      <c r="Z119">
        <f ca="1">IF($C119-Z$1&lt;År1,0,Y118*(1-VLOOKUP($A119,[1]Hugst!$R$5:$W$9,MATCH(ROUNDUP((Z$1)/10,0)*10,[1]Hugst!$R$4:$W$4,0))))</f>
        <v>938.97847905358674</v>
      </c>
      <c r="AA119">
        <f ca="1">IF($C119-AA$1&lt;År1,0,Z118*(1-VLOOKUP($A119,[1]Hugst!$R$5:$W$9,MATCH(ROUNDUP((AA$1)/10,0)*10,[1]Hugst!$R$4:$W$4,0))))</f>
        <v>938.7322517712247</v>
      </c>
      <c r="AB119">
        <f ca="1">IF($C119-AB$1&lt;År1,0,AA118*(1-VLOOKUP($A119,[1]Hugst!$R$5:$W$9,MATCH(ROUNDUP((AB$1)/10,0)*10,[1]Hugst!$R$4:$W$4,0))))</f>
        <v>938.49099398067654</v>
      </c>
      <c r="AC119">
        <f ca="1">IF($C119-AC$1&lt;År1,0,AB118*(1-VLOOKUP($A119,[1]Hugst!$R$5:$W$9,MATCH(ROUNDUP((AC$1)/10,0)*10,[1]Hugst!$R$4:$W$4,0))))</f>
        <v>938.25471194128147</v>
      </c>
      <c r="AD119">
        <f ca="1">IF($C119-AD$1&lt;År1,0,AC118*(1-VLOOKUP($A119,[1]Hugst!$R$5:$W$9,MATCH(ROUNDUP((AD$1)/10,0)*10,[1]Hugst!$R$4:$W$4,0))))</f>
        <v>938.02341195037116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55000000000000004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21.856630609232525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645.47017140486105</v>
      </c>
      <c r="G120">
        <f ca="1">IF($C120-G$1&lt;År1,0,F119*(1-VLOOKUP($A120,[1]Hugst!$R$5:$W$9,MATCH(ROUNDUP((G$1)/10,0)*10,[1]Hugst!$R$4:$W$4,0))))</f>
        <v>645.59034190834655</v>
      </c>
      <c r="H120">
        <f ca="1">IF($C120-H$1&lt;År1,0,G119*(1-VLOOKUP($A120,[1]Hugst!$R$5:$W$9,MATCH(ROUNDUP((H$1)/10,0)*10,[1]Hugst!$R$4:$W$4,0))))</f>
        <v>645.71466593682226</v>
      </c>
      <c r="I120">
        <f ca="1">IF($C120-I$1&lt;År1,0,H119*(1-VLOOKUP($A120,[1]Hugst!$R$5:$W$9,MATCH(ROUNDUP((I$1)/10,0)*10,[1]Hugst!$R$4:$W$4,0))))</f>
        <v>645.84316596689814</v>
      </c>
      <c r="J120">
        <f ca="1">IF($C120-J$1&lt;År1,0,I119*(1-VLOOKUP($A120,[1]Hugst!$R$5:$W$9,MATCH(ROUNDUP((J$1)/10,0)*10,[1]Hugst!$R$4:$W$4,0))))</f>
        <v>645.97586458490014</v>
      </c>
      <c r="K120">
        <f ca="1">IF($C120-K$1&lt;År1,0,J119*(1-VLOOKUP($A120,[1]Hugst!$R$5:$W$9,MATCH(ROUNDUP((K$1)/10,0)*10,[1]Hugst!$R$4:$W$4,0))))</f>
        <v>646.1127844873804</v>
      </c>
      <c r="L120">
        <f ca="1">IF($C120-L$1&lt;År1,0,K119*(1-VLOOKUP($A120,[1]Hugst!$R$5:$W$9,MATCH(ROUNDUP((L$1)/10,0)*10,[1]Hugst!$R$4:$W$4,0))))</f>
        <v>645.79041396833281</v>
      </c>
      <c r="M120">
        <f ca="1">IF($C120-M$1&lt;År1,0,L119*(1-VLOOKUP($A120,[1]Hugst!$R$5:$W$9,MATCH(ROUNDUP((M$1)/10,0)*10,[1]Hugst!$R$4:$W$4,0))))</f>
        <v>645.67302847986821</v>
      </c>
      <c r="N120">
        <f ca="1">IF($C120-N$1&lt;År1,0,M119*(1-VLOOKUP($A120,[1]Hugst!$R$5:$W$9,MATCH(ROUNDUP((N$1)/10,0)*10,[1]Hugst!$R$4:$W$4,0))))</f>
        <v>645.55793915458844</v>
      </c>
      <c r="O120">
        <f ca="1">IF($C120-O$1&lt;År1,0,N119*(1-VLOOKUP($A120,[1]Hugst!$R$5:$W$9,MATCH(ROUNDUP((O$1)/10,0)*10,[1]Hugst!$R$4:$W$4,0))))</f>
        <v>645.44516194016023</v>
      </c>
      <c r="P120">
        <f ca="1">IF($C120-P$1&lt;År1,0,O119*(1-VLOOKUP($A120,[1]Hugst!$R$5:$W$9,MATCH(ROUNDUP((P$1)/10,0)*10,[1]Hugst!$R$4:$W$4,0))))</f>
        <v>644.35030398709546</v>
      </c>
      <c r="Q120">
        <f ca="1">IF($C120-Q$1&lt;År1,0,P119*(1-VLOOKUP($A120,[1]Hugst!$R$5:$W$9,MATCH(ROUNDUP((Q$1)/10,0)*10,[1]Hugst!$R$4:$W$4,0))))</f>
        <v>643.25962150167118</v>
      </c>
      <c r="R120">
        <f ca="1">IF($C120-R$1&lt;År1,0,Q119*(1-VLOOKUP($A120,[1]Hugst!$R$5:$W$9,MATCH(ROUNDUP((R$1)/10,0)*10,[1]Hugst!$R$4:$W$4,0))))</f>
        <v>642.17311686329128</v>
      </c>
      <c r="S120">
        <f ca="1">IF($C120-S$1&lt;År1,0,R119*(1-VLOOKUP($A120,[1]Hugst!$R$5:$W$9,MATCH(ROUNDUP((S$1)/10,0)*10,[1]Hugst!$R$4:$W$4,0))))</f>
        <v>641.09079247827856</v>
      </c>
      <c r="T120">
        <f ca="1">IF($C120-T$1&lt;År1,0,S119*(1-VLOOKUP($A120,[1]Hugst!$R$5:$W$9,MATCH(ROUNDUP((T$1)/10,0)*10,[1]Hugst!$R$4:$W$4,0))))</f>
        <v>640.012650779929</v>
      </c>
      <c r="U120">
        <f ca="1">IF($C120-U$1&lt;År1,0,T119*(1-VLOOKUP($A120,[1]Hugst!$R$5:$W$9,MATCH(ROUNDUP((U$1)/10,0)*10,[1]Hugst!$R$4:$W$4,0))))</f>
        <v>939.58138918135205</v>
      </c>
      <c r="V120">
        <f ca="1">IF($C120-V$1&lt;År1,0,U119*(1-VLOOKUP($A120,[1]Hugst!$R$5:$W$9,MATCH(ROUNDUP((V$1)/10,0)*10,[1]Hugst!$R$4:$W$4,0))))</f>
        <v>938.05301276377759</v>
      </c>
      <c r="W120">
        <f ca="1">IF($C120-W$1&lt;År1,0,V119*(1-VLOOKUP($A120,[1]Hugst!$R$5:$W$9,MATCH(ROUNDUP((W$1)/10,0)*10,[1]Hugst!$R$4:$W$4,0))))</f>
        <v>937.9817020659774</v>
      </c>
      <c r="X120">
        <f ca="1">IF($C120-X$1&lt;År1,0,W119*(1-VLOOKUP($A120,[1]Hugst!$R$5:$W$9,MATCH(ROUNDUP((X$1)/10,0)*10,[1]Hugst!$R$4:$W$4,0))))</f>
        <v>937.91524798151499</v>
      </c>
      <c r="Y120">
        <f ca="1">IF($C120-Y$1&lt;År1,0,X119*(1-VLOOKUP($A120,[1]Hugst!$R$5:$W$9,MATCH(ROUNDUP((Y$1)/10,0)*10,[1]Hugst!$R$4:$W$4,0))))</f>
        <v>937.85365968163546</v>
      </c>
      <c r="Z120">
        <f ca="1">IF($C120-Z$1&lt;År1,0,Y119*(1-VLOOKUP($A120,[1]Hugst!$R$5:$W$9,MATCH(ROUNDUP((Z$1)/10,0)*10,[1]Hugst!$R$4:$W$4,0))))</f>
        <v>937.59795704463647</v>
      </c>
      <c r="AA120">
        <f ca="1">IF($C120-AA$1&lt;År1,0,Z119*(1-VLOOKUP($A120,[1]Hugst!$R$5:$W$9,MATCH(ROUNDUP((AA$1)/10,0)*10,[1]Hugst!$R$4:$W$4,0))))</f>
        <v>937.34720288234951</v>
      </c>
      <c r="AB120">
        <f ca="1">IF($C120-AB$1&lt;År1,0,AA119*(1-VLOOKUP($A120,[1]Hugst!$R$5:$W$9,MATCH(ROUNDUP((AB$1)/10,0)*10,[1]Hugst!$R$4:$W$4,0))))</f>
        <v>937.10140336772383</v>
      </c>
      <c r="AC120">
        <f ca="1">IF($C120-AC$1&lt;År1,0,AB119*(1-VLOOKUP($A120,[1]Hugst!$R$5:$W$9,MATCH(ROUNDUP((AC$1)/10,0)*10,[1]Hugst!$R$4:$W$4,0))))</f>
        <v>936.86056471147276</v>
      </c>
      <c r="AD120">
        <f ca="1">IF($C120-AD$1&lt;År1,0,AC119*(1-VLOOKUP($A120,[1]Hugst!$R$5:$W$9,MATCH(ROUNDUP((AD$1)/10,0)*10,[1]Hugst!$R$4:$W$4,0))))</f>
        <v>936.62469316206136</v>
      </c>
      <c r="AE120">
        <f ca="1">IF($C120-AE$1&lt;År1,0,AD119*(1-VLOOKUP($A120,[1]Hugst!$R$5:$W$9,MATCH(ROUNDUP((AE$1)/10,0)*10,[1]Hugst!$R$4:$W$4,0))))</f>
        <v>936.39379500588109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55000000000000004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23.00449230058075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645.35413205890336</v>
      </c>
      <c r="G121">
        <f ca="1">IF($C121-G$1&lt;År1,0,F120*(1-VLOOKUP($A121,[1]Hugst!$R$5:$W$9,MATCH(ROUNDUP((G$1)/10,0)*10,[1]Hugst!$R$4:$W$4,0))))</f>
        <v>645.47017140486105</v>
      </c>
      <c r="H121">
        <f ca="1">IF($C121-H$1&lt;År1,0,G120*(1-VLOOKUP($A121,[1]Hugst!$R$5:$W$9,MATCH(ROUNDUP((H$1)/10,0)*10,[1]Hugst!$R$4:$W$4,0))))</f>
        <v>645.59034190834655</v>
      </c>
      <c r="I121">
        <f ca="1">IF($C121-I$1&lt;År1,0,H120*(1-VLOOKUP($A121,[1]Hugst!$R$5:$W$9,MATCH(ROUNDUP((I$1)/10,0)*10,[1]Hugst!$R$4:$W$4,0))))</f>
        <v>645.71466593682226</v>
      </c>
      <c r="J121">
        <f ca="1">IF($C121-J$1&lt;År1,0,I120*(1-VLOOKUP($A121,[1]Hugst!$R$5:$W$9,MATCH(ROUNDUP((J$1)/10,0)*10,[1]Hugst!$R$4:$W$4,0))))</f>
        <v>645.84316596689814</v>
      </c>
      <c r="K121">
        <f ca="1">IF($C121-K$1&lt;År1,0,J120*(1-VLOOKUP($A121,[1]Hugst!$R$5:$W$9,MATCH(ROUNDUP((K$1)/10,0)*10,[1]Hugst!$R$4:$W$4,0))))</f>
        <v>645.97586458490014</v>
      </c>
      <c r="L121">
        <f ca="1">IF($C121-L$1&lt;År1,0,K120*(1-VLOOKUP($A121,[1]Hugst!$R$5:$W$9,MATCH(ROUNDUP((L$1)/10,0)*10,[1]Hugst!$R$4:$W$4,0))))</f>
        <v>646.1127844873804</v>
      </c>
      <c r="M121">
        <f ca="1">IF($C121-M$1&lt;År1,0,L120*(1-VLOOKUP($A121,[1]Hugst!$R$5:$W$9,MATCH(ROUNDUP((M$1)/10,0)*10,[1]Hugst!$R$4:$W$4,0))))</f>
        <v>645.79041396833281</v>
      </c>
      <c r="N121">
        <f ca="1">IF($C121-N$1&lt;År1,0,M120*(1-VLOOKUP($A121,[1]Hugst!$R$5:$W$9,MATCH(ROUNDUP((N$1)/10,0)*10,[1]Hugst!$R$4:$W$4,0))))</f>
        <v>645.67302847986821</v>
      </c>
      <c r="O121">
        <f ca="1">IF($C121-O$1&lt;År1,0,N120*(1-VLOOKUP($A121,[1]Hugst!$R$5:$W$9,MATCH(ROUNDUP((O$1)/10,0)*10,[1]Hugst!$R$4:$W$4,0))))</f>
        <v>645.55793915458844</v>
      </c>
      <c r="P121">
        <f ca="1">IF($C121-P$1&lt;År1,0,O120*(1-VLOOKUP($A121,[1]Hugst!$R$5:$W$9,MATCH(ROUNDUP((P$1)/10,0)*10,[1]Hugst!$R$4:$W$4,0))))</f>
        <v>644.46058457448873</v>
      </c>
      <c r="Q121">
        <f ca="1">IF($C121-Q$1&lt;År1,0,P120*(1-VLOOKUP($A121,[1]Hugst!$R$5:$W$9,MATCH(ROUNDUP((Q$1)/10,0)*10,[1]Hugst!$R$4:$W$4,0))))</f>
        <v>643.36739674372529</v>
      </c>
      <c r="R121">
        <f ca="1">IF($C121-R$1&lt;År1,0,Q120*(1-VLOOKUP($A121,[1]Hugst!$R$5:$W$9,MATCH(ROUNDUP((R$1)/10,0)*10,[1]Hugst!$R$4:$W$4,0))))</f>
        <v>642.27837801124485</v>
      </c>
      <c r="S121">
        <f ca="1">IF($C121-S$1&lt;År1,0,R120*(1-VLOOKUP($A121,[1]Hugst!$R$5:$W$9,MATCH(ROUNDUP((S$1)/10,0)*10,[1]Hugst!$R$4:$W$4,0))))</f>
        <v>641.19353075282186</v>
      </c>
      <c r="T121">
        <f ca="1">IF($C121-T$1&lt;År1,0,S120*(1-VLOOKUP($A121,[1]Hugst!$R$5:$W$9,MATCH(ROUNDUP((T$1)/10,0)*10,[1]Hugst!$R$4:$W$4,0))))</f>
        <v>640.11285737110825</v>
      </c>
      <c r="U121">
        <f ca="1">IF($C121-U$1&lt;År1,0,T120*(1-VLOOKUP($A121,[1]Hugst!$R$5:$W$9,MATCH(ROUNDUP((U$1)/10,0)*10,[1]Hugst!$R$4:$W$4,0))))</f>
        <v>639.03636029568838</v>
      </c>
      <c r="V121">
        <f ca="1">IF($C121-V$1&lt;År1,0,U120*(1-VLOOKUP($A121,[1]Hugst!$R$5:$W$9,MATCH(ROUNDUP((V$1)/10,0)*10,[1]Hugst!$R$4:$W$4,0))))</f>
        <v>938.14812943514323</v>
      </c>
      <c r="W121">
        <f ca="1">IF($C121-W$1&lt;År1,0,V120*(1-VLOOKUP($A121,[1]Hugst!$R$5:$W$9,MATCH(ROUNDUP((W$1)/10,0)*10,[1]Hugst!$R$4:$W$4,0))))</f>
        <v>936.62208443922259</v>
      </c>
      <c r="X121">
        <f ca="1">IF($C121-X$1&lt;År1,0,W120*(1-VLOOKUP($A121,[1]Hugst!$R$5:$W$9,MATCH(ROUNDUP((X$1)/10,0)*10,[1]Hugst!$R$4:$W$4,0))))</f>
        <v>936.550882520453</v>
      </c>
      <c r="Y121">
        <f ca="1">IF($C121-Y$1&lt;År1,0,X120*(1-VLOOKUP($A121,[1]Hugst!$R$5:$W$9,MATCH(ROUNDUP((Y$1)/10,0)*10,[1]Hugst!$R$4:$W$4,0))))</f>
        <v>936.48452980662796</v>
      </c>
      <c r="Z121">
        <f ca="1">IF($C121-Z$1&lt;År1,0,Y120*(1-VLOOKUP($A121,[1]Hugst!$R$5:$W$9,MATCH(ROUNDUP((Z$1)/10,0)*10,[1]Hugst!$R$4:$W$4,0))))</f>
        <v>936.22433764574782</v>
      </c>
      <c r="AA121">
        <f ca="1">IF($C121-AA$1&lt;År1,0,Z120*(1-VLOOKUP($A121,[1]Hugst!$R$5:$W$9,MATCH(ROUNDUP((AA$1)/10,0)*10,[1]Hugst!$R$4:$W$4,0))))</f>
        <v>935.96907923790639</v>
      </c>
      <c r="AB121">
        <f ca="1">IF($C121-AB$1&lt;År1,0,AA120*(1-VLOOKUP($A121,[1]Hugst!$R$5:$W$9,MATCH(ROUNDUP((AB$1)/10,0)*10,[1]Hugst!$R$4:$W$4,0))))</f>
        <v>935.71876070785049</v>
      </c>
      <c r="AC121">
        <f ca="1">IF($C121-AC$1&lt;År1,0,AB120*(1-VLOOKUP($A121,[1]Hugst!$R$5:$W$9,MATCH(ROUNDUP((AC$1)/10,0)*10,[1]Hugst!$R$4:$W$4,0))))</f>
        <v>935.47338821780534</v>
      </c>
      <c r="AD121">
        <f ca="1">IF($C121-AD$1&lt;År1,0,AC120*(1-VLOOKUP($A121,[1]Hugst!$R$5:$W$9,MATCH(ROUNDUP((AD$1)/10,0)*10,[1]Hugst!$R$4:$W$4,0))))</f>
        <v>935.23296796769432</v>
      </c>
      <c r="AE121">
        <f ca="1">IF($C121-AE$1&lt;År1,0,AD120*(1-VLOOKUP($A121,[1]Hugst!$R$5:$W$9,MATCH(ROUNDUP((AE$1)/10,0)*10,[1]Hugst!$R$4:$W$4,0))))</f>
        <v>934.99750619512724</v>
      </c>
      <c r="AF121">
        <f ca="1">IF($C121-AF$1&lt;År1,0,AE120*(1-VLOOKUP($A121,[1]Hugst!$R$5:$W$9,MATCH(ROUNDUP((AF$1)/10,0)*10,[1]Hugst!$R$4:$W$4,0))))</f>
        <v>934.76700917557423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55000000000000004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24.150143385420961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645.24220161160292</v>
      </c>
      <c r="G122">
        <f ca="1">IF($C122-G$1&lt;År1,0,F121*(1-VLOOKUP($A122,[1]Hugst!$R$5:$W$9,MATCH(ROUNDUP((G$1)/10,0)*10,[1]Hugst!$R$4:$W$4,0))))</f>
        <v>645.35413205890336</v>
      </c>
      <c r="H122">
        <f ca="1">IF($C122-H$1&lt;År1,0,G121*(1-VLOOKUP($A122,[1]Hugst!$R$5:$W$9,MATCH(ROUNDUP((H$1)/10,0)*10,[1]Hugst!$R$4:$W$4,0))))</f>
        <v>645.47017140486105</v>
      </c>
      <c r="I122">
        <f ca="1">IF($C122-I$1&lt;År1,0,H121*(1-VLOOKUP($A122,[1]Hugst!$R$5:$W$9,MATCH(ROUNDUP((I$1)/10,0)*10,[1]Hugst!$R$4:$W$4,0))))</f>
        <v>645.59034190834655</v>
      </c>
      <c r="J122">
        <f ca="1">IF($C122-J$1&lt;År1,0,I121*(1-VLOOKUP($A122,[1]Hugst!$R$5:$W$9,MATCH(ROUNDUP((J$1)/10,0)*10,[1]Hugst!$R$4:$W$4,0))))</f>
        <v>645.71466593682226</v>
      </c>
      <c r="K122">
        <f ca="1">IF($C122-K$1&lt;År1,0,J121*(1-VLOOKUP($A122,[1]Hugst!$R$5:$W$9,MATCH(ROUNDUP((K$1)/10,0)*10,[1]Hugst!$R$4:$W$4,0))))</f>
        <v>645.84316596689814</v>
      </c>
      <c r="L122">
        <f ca="1">IF($C122-L$1&lt;År1,0,K121*(1-VLOOKUP($A122,[1]Hugst!$R$5:$W$9,MATCH(ROUNDUP((L$1)/10,0)*10,[1]Hugst!$R$4:$W$4,0))))</f>
        <v>645.97586458490014</v>
      </c>
      <c r="M122">
        <f ca="1">IF($C122-M$1&lt;År1,0,L121*(1-VLOOKUP($A122,[1]Hugst!$R$5:$W$9,MATCH(ROUNDUP((M$1)/10,0)*10,[1]Hugst!$R$4:$W$4,0))))</f>
        <v>646.1127844873804</v>
      </c>
      <c r="N122">
        <f ca="1">IF($C122-N$1&lt;År1,0,M121*(1-VLOOKUP($A122,[1]Hugst!$R$5:$W$9,MATCH(ROUNDUP((N$1)/10,0)*10,[1]Hugst!$R$4:$W$4,0))))</f>
        <v>645.79041396833281</v>
      </c>
      <c r="O122">
        <f ca="1">IF($C122-O$1&lt;År1,0,N121*(1-VLOOKUP($A122,[1]Hugst!$R$5:$W$9,MATCH(ROUNDUP((O$1)/10,0)*10,[1]Hugst!$R$4:$W$4,0))))</f>
        <v>645.67302847986821</v>
      </c>
      <c r="P122">
        <f ca="1">IF($C122-P$1&lt;År1,0,O121*(1-VLOOKUP($A122,[1]Hugst!$R$5:$W$9,MATCH(ROUNDUP((P$1)/10,0)*10,[1]Hugst!$R$4:$W$4,0))))</f>
        <v>644.57318975587805</v>
      </c>
      <c r="Q122">
        <f ca="1">IF($C122-Q$1&lt;År1,0,P121*(1-VLOOKUP($A122,[1]Hugst!$R$5:$W$9,MATCH(ROUNDUP((Q$1)/10,0)*10,[1]Hugst!$R$4:$W$4,0))))</f>
        <v>643.4775091064937</v>
      </c>
      <c r="R122">
        <f ca="1">IF($C122-R$1&lt;År1,0,Q121*(1-VLOOKUP($A122,[1]Hugst!$R$5:$W$9,MATCH(ROUNDUP((R$1)/10,0)*10,[1]Hugst!$R$4:$W$4,0))))</f>
        <v>642.38598885038743</v>
      </c>
      <c r="S122">
        <f ca="1">IF($C122-S$1&lt;År1,0,R121*(1-VLOOKUP($A122,[1]Hugst!$R$5:$W$9,MATCH(ROUNDUP((S$1)/10,0)*10,[1]Hugst!$R$4:$W$4,0))))</f>
        <v>641.29863133292258</v>
      </c>
      <c r="T122">
        <f ca="1">IF($C122-T$1&lt;År1,0,S121*(1-VLOOKUP($A122,[1]Hugst!$R$5:$W$9,MATCH(ROUNDUP((T$1)/10,0)*10,[1]Hugst!$R$4:$W$4,0))))</f>
        <v>640.2154389262497</v>
      </c>
      <c r="U122">
        <f ca="1">IF($C122-U$1&lt;År1,0,T121*(1-VLOOKUP($A122,[1]Hugst!$R$5:$W$9,MATCH(ROUNDUP((U$1)/10,0)*10,[1]Hugst!$R$4:$W$4,0))))</f>
        <v>639.13641402935571</v>
      </c>
      <c r="V122">
        <f ca="1">IF($C122-V$1&lt;År1,0,U121*(1-VLOOKUP($A122,[1]Hugst!$R$5:$W$9,MATCH(ROUNDUP((V$1)/10,0)*10,[1]Hugst!$R$4:$W$4,0))))</f>
        <v>638.06155906811864</v>
      </c>
      <c r="W122">
        <f ca="1">IF($C122-W$1&lt;År1,0,V121*(1-VLOOKUP($A122,[1]Hugst!$R$5:$W$9,MATCH(ROUNDUP((W$1)/10,0)*10,[1]Hugst!$R$4:$W$4,0))))</f>
        <v>936.71705601736073</v>
      </c>
      <c r="X122">
        <f ca="1">IF($C122-X$1&lt;År1,0,W121*(1-VLOOKUP($A122,[1]Hugst!$R$5:$W$9,MATCH(ROUNDUP((X$1)/10,0)*10,[1]Hugst!$R$4:$W$4,0))))</f>
        <v>935.19333888668814</v>
      </c>
      <c r="Y122">
        <f ca="1">IF($C122-Y$1&lt;År1,0,X121*(1-VLOOKUP($A122,[1]Hugst!$R$5:$W$9,MATCH(ROUNDUP((Y$1)/10,0)*10,[1]Hugst!$R$4:$W$4,0))))</f>
        <v>935.12224558101502</v>
      </c>
      <c r="Z122">
        <f ca="1">IF($C122-Z$1&lt;År1,0,Y121*(1-VLOOKUP($A122,[1]Hugst!$R$5:$W$9,MATCH(ROUNDUP((Z$1)/10,0)*10,[1]Hugst!$R$4:$W$4,0))))</f>
        <v>934.8575863438283</v>
      </c>
      <c r="AA122">
        <f ca="1">IF($C122-AA$1&lt;År1,0,Z121*(1-VLOOKUP($A122,[1]Hugst!$R$5:$W$9,MATCH(ROUNDUP((AA$1)/10,0)*10,[1]Hugst!$R$4:$W$4,0))))</f>
        <v>934.59784621170218</v>
      </c>
      <c r="AB122">
        <f ca="1">IF($C122-AB$1&lt;År1,0,AA121*(1-VLOOKUP($A122,[1]Hugst!$R$5:$W$9,MATCH(ROUNDUP((AB$1)/10,0)*10,[1]Hugst!$R$4:$W$4,0))))</f>
        <v>934.34303126126417</v>
      </c>
      <c r="AC122">
        <f ca="1">IF($C122-AC$1&lt;År1,0,AB121*(1-VLOOKUP($A122,[1]Hugst!$R$5:$W$9,MATCH(ROUNDUP((AC$1)/10,0)*10,[1]Hugst!$R$4:$W$4,0))))</f>
        <v>934.09314760662073</v>
      </c>
      <c r="AD122">
        <f ca="1">IF($C122-AD$1&lt;År1,0,AC121*(1-VLOOKUP($A122,[1]Hugst!$R$5:$W$9,MATCH(ROUNDUP((AD$1)/10,0)*10,[1]Hugst!$R$4:$W$4,0))))</f>
        <v>933.84820139929127</v>
      </c>
      <c r="AE122">
        <f ca="1">IF($C122-AE$1&lt;År1,0,AD121*(1-VLOOKUP($A122,[1]Hugst!$R$5:$W$9,MATCH(ROUNDUP((AE$1)/10,0)*10,[1]Hugst!$R$4:$W$4,0))))</f>
        <v>933.60819882842839</v>
      </c>
      <c r="AF122">
        <f ca="1">IF($C122-AF$1&lt;År1,0,AE121*(1-VLOOKUP($A122,[1]Hugst!$R$5:$W$9,MATCH(ROUNDUP((AF$1)/10,0)*10,[1]Hugst!$R$4:$W$4,0))))</f>
        <v>933.37314612080513</v>
      </c>
      <c r="AG122">
        <f ca="1">IF($C122-AG$1&lt;År1,0,AF121*(1-VLOOKUP($A122,[1]Hugst!$R$5:$W$9,MATCH(ROUNDUP((AG$1)/10,0)*10,[1]Hugst!$R$4:$W$4,0))))</f>
        <v>933.14304954098952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55000000000000004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25.29359331055457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645.13435791227812</v>
      </c>
      <c r="G123">
        <f ca="1">IF($C123-G$1&lt;År1,0,F122*(1-VLOOKUP($A123,[1]Hugst!$R$5:$W$9,MATCH(ROUNDUP((G$1)/10,0)*10,[1]Hugst!$R$4:$W$4,0))))</f>
        <v>645.24220161160292</v>
      </c>
      <c r="H123">
        <f ca="1">IF($C123-H$1&lt;År1,0,G122*(1-VLOOKUP($A123,[1]Hugst!$R$5:$W$9,MATCH(ROUNDUP((H$1)/10,0)*10,[1]Hugst!$R$4:$W$4,0))))</f>
        <v>645.35413205890336</v>
      </c>
      <c r="I123">
        <f ca="1">IF($C123-I$1&lt;År1,0,H122*(1-VLOOKUP($A123,[1]Hugst!$R$5:$W$9,MATCH(ROUNDUP((I$1)/10,0)*10,[1]Hugst!$R$4:$W$4,0))))</f>
        <v>645.47017140486105</v>
      </c>
      <c r="J123">
        <f ca="1">IF($C123-J$1&lt;År1,0,I122*(1-VLOOKUP($A123,[1]Hugst!$R$5:$W$9,MATCH(ROUNDUP((J$1)/10,0)*10,[1]Hugst!$R$4:$W$4,0))))</f>
        <v>645.59034190834655</v>
      </c>
      <c r="K123">
        <f ca="1">IF($C123-K$1&lt;År1,0,J122*(1-VLOOKUP($A123,[1]Hugst!$R$5:$W$9,MATCH(ROUNDUP((K$1)/10,0)*10,[1]Hugst!$R$4:$W$4,0))))</f>
        <v>645.71466593682226</v>
      </c>
      <c r="L123">
        <f ca="1">IF($C123-L$1&lt;År1,0,K122*(1-VLOOKUP($A123,[1]Hugst!$R$5:$W$9,MATCH(ROUNDUP((L$1)/10,0)*10,[1]Hugst!$R$4:$W$4,0))))</f>
        <v>645.84316596689814</v>
      </c>
      <c r="M123">
        <f ca="1">IF($C123-M$1&lt;År1,0,L122*(1-VLOOKUP($A123,[1]Hugst!$R$5:$W$9,MATCH(ROUNDUP((M$1)/10,0)*10,[1]Hugst!$R$4:$W$4,0))))</f>
        <v>645.97586458490014</v>
      </c>
      <c r="N123">
        <f ca="1">IF($C123-N$1&lt;År1,0,M122*(1-VLOOKUP($A123,[1]Hugst!$R$5:$W$9,MATCH(ROUNDUP((N$1)/10,0)*10,[1]Hugst!$R$4:$W$4,0))))</f>
        <v>646.1127844873804</v>
      </c>
      <c r="O123">
        <f ca="1">IF($C123-O$1&lt;År1,0,N122*(1-VLOOKUP($A123,[1]Hugst!$R$5:$W$9,MATCH(ROUNDUP((O$1)/10,0)*10,[1]Hugst!$R$4:$W$4,0))))</f>
        <v>645.79041396833281</v>
      </c>
      <c r="P123">
        <f ca="1">IF($C123-P$1&lt;År1,0,O122*(1-VLOOKUP($A123,[1]Hugst!$R$5:$W$9,MATCH(ROUNDUP((P$1)/10,0)*10,[1]Hugst!$R$4:$W$4,0))))</f>
        <v>644.68810352117009</v>
      </c>
      <c r="Q123">
        <f ca="1">IF($C123-Q$1&lt;År1,0,P122*(1-VLOOKUP($A123,[1]Hugst!$R$5:$W$9,MATCH(ROUNDUP((Q$1)/10,0)*10,[1]Hugst!$R$4:$W$4,0))))</f>
        <v>643.58994251726733</v>
      </c>
      <c r="R123">
        <f ca="1">IF($C123-R$1&lt;År1,0,Q122*(1-VLOOKUP($A123,[1]Hugst!$R$5:$W$9,MATCH(ROUNDUP((R$1)/10,0)*10,[1]Hugst!$R$4:$W$4,0))))</f>
        <v>642.49593324514478</v>
      </c>
      <c r="S123">
        <f ca="1">IF($C123-S$1&lt;År1,0,R122*(1-VLOOKUP($A123,[1]Hugst!$R$5:$W$9,MATCH(ROUNDUP((S$1)/10,0)*10,[1]Hugst!$R$4:$W$4,0))))</f>
        <v>641.40607801993769</v>
      </c>
      <c r="T123">
        <f ca="1">IF($C123-T$1&lt;År1,0,S122*(1-VLOOKUP($A123,[1]Hugst!$R$5:$W$9,MATCH(ROUNDUP((T$1)/10,0)*10,[1]Hugst!$R$4:$W$4,0))))</f>
        <v>640.32037918343167</v>
      </c>
      <c r="U123">
        <f ca="1">IF($C123-U$1&lt;År1,0,T122*(1-VLOOKUP($A123,[1]Hugst!$R$5:$W$9,MATCH(ROUNDUP((U$1)/10,0)*10,[1]Hugst!$R$4:$W$4,0))))</f>
        <v>639.23883910415884</v>
      </c>
      <c r="V123">
        <f ca="1">IF($C123-V$1&lt;År1,0,U122*(1-VLOOKUP($A123,[1]Hugst!$R$5:$W$9,MATCH(ROUNDUP((V$1)/10,0)*10,[1]Hugst!$R$4:$W$4,0))))</f>
        <v>638.16146017744654</v>
      </c>
      <c r="W123">
        <f ca="1">IF($C123-W$1&lt;År1,0,V122*(1-VLOOKUP($A123,[1]Hugst!$R$5:$W$9,MATCH(ROUNDUP((W$1)/10,0)*10,[1]Hugst!$R$4:$W$4,0))))</f>
        <v>637.08824482547232</v>
      </c>
      <c r="X123">
        <f ca="1">IF($C123-X$1&lt;År1,0,W122*(1-VLOOKUP($A123,[1]Hugst!$R$5:$W$9,MATCH(ROUNDUP((X$1)/10,0)*10,[1]Hugst!$R$4:$W$4,0))))</f>
        <v>935.28816559292738</v>
      </c>
      <c r="Y123">
        <f ca="1">IF($C123-Y$1&lt;År1,0,X122*(1-VLOOKUP($A123,[1]Hugst!$R$5:$W$9,MATCH(ROUNDUP((Y$1)/10,0)*10,[1]Hugst!$R$4:$W$4,0))))</f>
        <v>933.76677277652198</v>
      </c>
      <c r="Z123">
        <f ca="1">IF($C123-Z$1&lt;År1,0,Y122*(1-VLOOKUP($A123,[1]Hugst!$R$5:$W$9,MATCH(ROUNDUP((Z$1)/10,0)*10,[1]Hugst!$R$4:$W$4,0))))</f>
        <v>933.49766879843776</v>
      </c>
      <c r="AA123">
        <f ca="1">IF($C123-AA$1&lt;År1,0,Z122*(1-VLOOKUP($A123,[1]Hugst!$R$5:$W$9,MATCH(ROUNDUP((AA$1)/10,0)*10,[1]Hugst!$R$4:$W$4,0))))</f>
        <v>933.23346935060385</v>
      </c>
      <c r="AB123">
        <f ca="1">IF($C123-AB$1&lt;År1,0,AA122*(1-VLOOKUP($A123,[1]Hugst!$R$5:$W$9,MATCH(ROUNDUP((AB$1)/10,0)*10,[1]Hugst!$R$4:$W$4,0))))</f>
        <v>932.97418046192752</v>
      </c>
      <c r="AC123">
        <f ca="1">IF($C123-AC$1&lt;År1,0,AB122*(1-VLOOKUP($A123,[1]Hugst!$R$5:$W$9,MATCH(ROUNDUP((AC$1)/10,0)*10,[1]Hugst!$R$4:$W$4,0))))</f>
        <v>932.71980819847977</v>
      </c>
      <c r="AD123">
        <f ca="1">IF($C123-AD$1&lt;År1,0,AC122*(1-VLOOKUP($A123,[1]Hugst!$R$5:$W$9,MATCH(ROUNDUP((AD$1)/10,0)*10,[1]Hugst!$R$4:$W$4,0))))</f>
        <v>932.47035866374483</v>
      </c>
      <c r="AE123">
        <f ca="1">IF($C123-AE$1&lt;År1,0,AD122*(1-VLOOKUP($A123,[1]Hugst!$R$5:$W$9,MATCH(ROUNDUP((AE$1)/10,0)*10,[1]Hugst!$R$4:$W$4,0))))</f>
        <v>932.22583799855522</v>
      </c>
      <c r="AF123">
        <f ca="1">IF($C123-AF$1&lt;År1,0,AE122*(1-VLOOKUP($A123,[1]Hugst!$R$5:$W$9,MATCH(ROUNDUP((AF$1)/10,0)*10,[1]Hugst!$R$4:$W$4,0))))</f>
        <v>931.98625238131115</v>
      </c>
      <c r="AG123">
        <f ca="1">IF($C123-AG$1&lt;År1,0,AF122*(1-VLOOKUP($A123,[1]Hugst!$R$5:$W$9,MATCH(ROUNDUP((AG$1)/10,0)*10,[1]Hugst!$R$4:$W$4,0))))</f>
        <v>931.75160802796813</v>
      </c>
      <c r="AH123">
        <f ca="1">IF($C123-AH$1&lt;År1,0,AG122*(1-VLOOKUP($A123,[1]Hugst!$R$5:$W$9,MATCH(ROUNDUP((AH$1)/10,0)*10,[1]Hugst!$R$4:$W$4,0))))</f>
        <v>931.52191119221061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55000000000000004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26.434851472342416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645.03057891773324</v>
      </c>
      <c r="G124">
        <f ca="1">IF($C124-G$1&lt;År1,0,F123*(1-VLOOKUP($A124,[1]Hugst!$R$5:$W$9,MATCH(ROUNDUP((G$1)/10,0)*10,[1]Hugst!$R$4:$W$4,0))))</f>
        <v>645.13435791227812</v>
      </c>
      <c r="H124">
        <f ca="1">IF($C124-H$1&lt;År1,0,G123*(1-VLOOKUP($A124,[1]Hugst!$R$5:$W$9,MATCH(ROUNDUP((H$1)/10,0)*10,[1]Hugst!$R$4:$W$4,0))))</f>
        <v>645.24220161160292</v>
      </c>
      <c r="I124">
        <f ca="1">IF($C124-I$1&lt;År1,0,H123*(1-VLOOKUP($A124,[1]Hugst!$R$5:$W$9,MATCH(ROUNDUP((I$1)/10,0)*10,[1]Hugst!$R$4:$W$4,0))))</f>
        <v>645.35413205890336</v>
      </c>
      <c r="J124">
        <f ca="1">IF($C124-J$1&lt;År1,0,I123*(1-VLOOKUP($A124,[1]Hugst!$R$5:$W$9,MATCH(ROUNDUP((J$1)/10,0)*10,[1]Hugst!$R$4:$W$4,0))))</f>
        <v>645.47017140486105</v>
      </c>
      <c r="K124">
        <f ca="1">IF($C124-K$1&lt;År1,0,J123*(1-VLOOKUP($A124,[1]Hugst!$R$5:$W$9,MATCH(ROUNDUP((K$1)/10,0)*10,[1]Hugst!$R$4:$W$4,0))))</f>
        <v>645.59034190834655</v>
      </c>
      <c r="L124">
        <f ca="1">IF($C124-L$1&lt;År1,0,K123*(1-VLOOKUP($A124,[1]Hugst!$R$5:$W$9,MATCH(ROUNDUP((L$1)/10,0)*10,[1]Hugst!$R$4:$W$4,0))))</f>
        <v>645.71466593682226</v>
      </c>
      <c r="M124">
        <f ca="1">IF($C124-M$1&lt;År1,0,L123*(1-VLOOKUP($A124,[1]Hugst!$R$5:$W$9,MATCH(ROUNDUP((M$1)/10,0)*10,[1]Hugst!$R$4:$W$4,0))))</f>
        <v>645.84316596689814</v>
      </c>
      <c r="N124">
        <f ca="1">IF($C124-N$1&lt;År1,0,M123*(1-VLOOKUP($A124,[1]Hugst!$R$5:$W$9,MATCH(ROUNDUP((N$1)/10,0)*10,[1]Hugst!$R$4:$W$4,0))))</f>
        <v>645.97586458490014</v>
      </c>
      <c r="O124">
        <f ca="1">IF($C124-O$1&lt;År1,0,N123*(1-VLOOKUP($A124,[1]Hugst!$R$5:$W$9,MATCH(ROUNDUP((O$1)/10,0)*10,[1]Hugst!$R$4:$W$4,0))))</f>
        <v>646.1127844873804</v>
      </c>
      <c r="P124">
        <f ca="1">IF($C124-P$1&lt;År1,0,O123*(1-VLOOKUP($A124,[1]Hugst!$R$5:$W$9,MATCH(ROUNDUP((P$1)/10,0)*10,[1]Hugst!$R$4:$W$4,0))))</f>
        <v>644.80530994702519</v>
      </c>
      <c r="Q124">
        <f ca="1">IF($C124-Q$1&lt;År1,0,P123*(1-VLOOKUP($A124,[1]Hugst!$R$5:$W$9,MATCH(ROUNDUP((Q$1)/10,0)*10,[1]Hugst!$R$4:$W$4,0))))</f>
        <v>643.7046809903751</v>
      </c>
      <c r="R124">
        <f ca="1">IF($C124-R$1&lt;År1,0,Q123*(1-VLOOKUP($A124,[1]Hugst!$R$5:$W$9,MATCH(ROUNDUP((R$1)/10,0)*10,[1]Hugst!$R$4:$W$4,0))))</f>
        <v>642.60819514732577</v>
      </c>
      <c r="S124">
        <f ca="1">IF($C124-S$1&lt;År1,0,R123*(1-VLOOKUP($A124,[1]Hugst!$R$5:$W$9,MATCH(ROUNDUP((S$1)/10,0)*10,[1]Hugst!$R$4:$W$4,0))))</f>
        <v>641.51585470290638</v>
      </c>
      <c r="T124">
        <f ca="1">IF($C124-T$1&lt;År1,0,S123*(1-VLOOKUP($A124,[1]Hugst!$R$5:$W$9,MATCH(ROUNDUP((T$1)/10,0)*10,[1]Hugst!$R$4:$W$4,0))))</f>
        <v>640.42766196872083</v>
      </c>
      <c r="U124">
        <f ca="1">IF($C124-U$1&lt;År1,0,T123*(1-VLOOKUP($A124,[1]Hugst!$R$5:$W$9,MATCH(ROUNDUP((U$1)/10,0)*10,[1]Hugst!$R$4:$W$4,0))))</f>
        <v>639.34361928298233</v>
      </c>
      <c r="V124">
        <f ca="1">IF($C124-V$1&lt;År1,0,U123*(1-VLOOKUP($A124,[1]Hugst!$R$5:$W$9,MATCH(ROUNDUP((V$1)/10,0)*10,[1]Hugst!$R$4:$W$4,0))))</f>
        <v>638.26372901061006</v>
      </c>
      <c r="W124">
        <f ca="1">IF($C124-W$1&lt;År1,0,V123*(1-VLOOKUP($A124,[1]Hugst!$R$5:$W$9,MATCH(ROUNDUP((W$1)/10,0)*10,[1]Hugst!$R$4:$W$4,0))))</f>
        <v>637.18799354327757</v>
      </c>
      <c r="X124">
        <f ca="1">IF($C124-X$1&lt;År1,0,W123*(1-VLOOKUP($A124,[1]Hugst!$R$5:$W$9,MATCH(ROUNDUP((X$1)/10,0)*10,[1]Hugst!$R$4:$W$4,0))))</f>
        <v>636.11641529946735</v>
      </c>
      <c r="Y124">
        <f ca="1">IF($C124-Y$1&lt;År1,0,X123*(1-VLOOKUP($A124,[1]Hugst!$R$5:$W$9,MATCH(ROUNDUP((Y$1)/10,0)*10,[1]Hugst!$R$4:$W$4,0))))</f>
        <v>933.86145483185339</v>
      </c>
      <c r="Z124">
        <f ca="1">IF($C124-Z$1&lt;År1,0,Y123*(1-VLOOKUP($A124,[1]Hugst!$R$5:$W$9,MATCH(ROUNDUP((Z$1)/10,0)*10,[1]Hugst!$R$4:$W$4,0))))</f>
        <v>932.1445508407661</v>
      </c>
      <c r="AA124">
        <f ca="1">IF($C124-AA$1&lt;År1,0,Z123*(1-VLOOKUP($A124,[1]Hugst!$R$5:$W$9,MATCH(ROUNDUP((AA$1)/10,0)*10,[1]Hugst!$R$4:$W$4,0))))</f>
        <v>931.87591437383026</v>
      </c>
      <c r="AB124">
        <f ca="1">IF($C124-AB$1&lt;År1,0,AA123*(1-VLOOKUP($A124,[1]Hugst!$R$5:$W$9,MATCH(ROUNDUP((AB$1)/10,0)*10,[1]Hugst!$R$4:$W$4,0))))</f>
        <v>931.61217391656248</v>
      </c>
      <c r="AC124">
        <f ca="1">IF($C124-AC$1&lt;År1,0,AB123*(1-VLOOKUP($A124,[1]Hugst!$R$5:$W$9,MATCH(ROUNDUP((AC$1)/10,0)*10,[1]Hugst!$R$4:$W$4,0))))</f>
        <v>931.35333548739618</v>
      </c>
      <c r="AD124">
        <f ca="1">IF($C124-AD$1&lt;År1,0,AC123*(1-VLOOKUP($A124,[1]Hugst!$R$5:$W$9,MATCH(ROUNDUP((AD$1)/10,0)*10,[1]Hugst!$R$4:$W$4,0))))</f>
        <v>931.09940514186371</v>
      </c>
      <c r="AE124">
        <f ca="1">IF($C124-AE$1&lt;År1,0,AD123*(1-VLOOKUP($A124,[1]Hugst!$R$5:$W$9,MATCH(ROUNDUP((AE$1)/10,0)*10,[1]Hugst!$R$4:$W$4,0))))</f>
        <v>930.85038897284596</v>
      </c>
      <c r="AF124">
        <f ca="1">IF($C124-AF$1&lt;År1,0,AE123*(1-VLOOKUP($A124,[1]Hugst!$R$5:$W$9,MATCH(ROUNDUP((AF$1)/10,0)*10,[1]Hugst!$R$4:$W$4,0))))</f>
        <v>930.60629311050684</v>
      </c>
      <c r="AG124">
        <f ca="1">IF($C124-AG$1&lt;År1,0,AF123*(1-VLOOKUP($A124,[1]Hugst!$R$5:$W$9,MATCH(ROUNDUP((AG$1)/10,0)*10,[1]Hugst!$R$4:$W$4,0))))</f>
        <v>930.36712372251304</v>
      </c>
      <c r="AH124">
        <f ca="1">IF($C124-AH$1&lt;År1,0,AG123*(1-VLOOKUP($A124,[1]Hugst!$R$5:$W$9,MATCH(ROUNDUP((AH$1)/10,0)*10,[1]Hugst!$R$4:$W$4,0))))</f>
        <v>930.13288701402121</v>
      </c>
      <c r="AI124">
        <f ca="1">IF($C124-AI$1&lt;År1,0,AH123*(1-VLOOKUP($A124,[1]Hugst!$R$5:$W$9,MATCH(ROUNDUP((AI$1)/10,0)*10,[1]Hugst!$R$4:$W$4,0))))</f>
        <v>929.90358922785117</v>
      </c>
      <c r="AJ124">
        <f>IF($C124-AJ$1&lt;År1,0,AI123*(1-VLOOKUP($A124,[1]Hugst!$R$5:$W$9,MATCH(ROUNDUP((AJ$1)/10,0)*10,[1]Hugst!$R$4:$W$4,0))))</f>
        <v>0</v>
      </c>
    </row>
    <row r="125" spans="1:38" x14ac:dyDescent="0.55000000000000004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26.786488338795607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644.14340381362172</v>
      </c>
      <c r="G125">
        <f ca="1">IF($C125-G$1&lt;År1,0,F124*(1-VLOOKUP($A125,[1]Hugst!$R$5:$W$9,MATCH(ROUNDUP((G$1)/10,0)*10,[1]Hugst!$R$4:$W$4,0))))</f>
        <v>645.03057891773324</v>
      </c>
      <c r="H125">
        <f ca="1">IF($C125-H$1&lt;År1,0,G124*(1-VLOOKUP($A125,[1]Hugst!$R$5:$W$9,MATCH(ROUNDUP((H$1)/10,0)*10,[1]Hugst!$R$4:$W$4,0))))</f>
        <v>645.13435791227812</v>
      </c>
      <c r="I125">
        <f ca="1">IF($C125-I$1&lt;År1,0,H124*(1-VLOOKUP($A125,[1]Hugst!$R$5:$W$9,MATCH(ROUNDUP((I$1)/10,0)*10,[1]Hugst!$R$4:$W$4,0))))</f>
        <v>645.24220161160292</v>
      </c>
      <c r="J125">
        <f ca="1">IF($C125-J$1&lt;År1,0,I124*(1-VLOOKUP($A125,[1]Hugst!$R$5:$W$9,MATCH(ROUNDUP((J$1)/10,0)*10,[1]Hugst!$R$4:$W$4,0))))</f>
        <v>645.35413205890336</v>
      </c>
      <c r="K125">
        <f ca="1">IF($C125-K$1&lt;År1,0,J124*(1-VLOOKUP($A125,[1]Hugst!$R$5:$W$9,MATCH(ROUNDUP((K$1)/10,0)*10,[1]Hugst!$R$4:$W$4,0))))</f>
        <v>645.47017140486105</v>
      </c>
      <c r="L125">
        <f ca="1">IF($C125-L$1&lt;År1,0,K124*(1-VLOOKUP($A125,[1]Hugst!$R$5:$W$9,MATCH(ROUNDUP((L$1)/10,0)*10,[1]Hugst!$R$4:$W$4,0))))</f>
        <v>645.59034190834655</v>
      </c>
      <c r="M125">
        <f ca="1">IF($C125-M$1&lt;År1,0,L124*(1-VLOOKUP($A125,[1]Hugst!$R$5:$W$9,MATCH(ROUNDUP((M$1)/10,0)*10,[1]Hugst!$R$4:$W$4,0))))</f>
        <v>645.71466593682226</v>
      </c>
      <c r="N125">
        <f ca="1">IF($C125-N$1&lt;År1,0,M124*(1-VLOOKUP($A125,[1]Hugst!$R$5:$W$9,MATCH(ROUNDUP((N$1)/10,0)*10,[1]Hugst!$R$4:$W$4,0))))</f>
        <v>645.84316596689814</v>
      </c>
      <c r="O125">
        <f ca="1">IF($C125-O$1&lt;År1,0,N124*(1-VLOOKUP($A125,[1]Hugst!$R$5:$W$9,MATCH(ROUNDUP((O$1)/10,0)*10,[1]Hugst!$R$4:$W$4,0))))</f>
        <v>645.97586458490014</v>
      </c>
      <c r="P125">
        <f ca="1">IF($C125-P$1&lt;År1,0,O124*(1-VLOOKUP($A125,[1]Hugst!$R$5:$W$9,MATCH(ROUNDUP((P$1)/10,0)*10,[1]Hugst!$R$4:$W$4,0))))</f>
        <v>645.12718871443349</v>
      </c>
      <c r="Q125">
        <f ca="1">IF($C125-Q$1&lt;År1,0,P124*(1-VLOOKUP($A125,[1]Hugst!$R$5:$W$9,MATCH(ROUNDUP((Q$1)/10,0)*10,[1]Hugst!$R$4:$W$4,0))))</f>
        <v>643.82170862676696</v>
      </c>
      <c r="R125">
        <f ca="1">IF($C125-R$1&lt;År1,0,Q124*(1-VLOOKUP($A125,[1]Hugst!$R$5:$W$9,MATCH(ROUNDUP((R$1)/10,0)*10,[1]Hugst!$R$4:$W$4,0))))</f>
        <v>642.722758595644</v>
      </c>
      <c r="S125">
        <f ca="1">IF($C125-S$1&lt;År1,0,R124*(1-VLOOKUP($A125,[1]Hugst!$R$5:$W$9,MATCH(ROUNDUP((S$1)/10,0)*10,[1]Hugst!$R$4:$W$4,0))))</f>
        <v>641.62794535811793</v>
      </c>
      <c r="T125">
        <f ca="1">IF($C125-T$1&lt;År1,0,S124*(1-VLOOKUP($A125,[1]Hugst!$R$5:$W$9,MATCH(ROUNDUP((T$1)/10,0)*10,[1]Hugst!$R$4:$W$4,0))))</f>
        <v>640.53727119573239</v>
      </c>
      <c r="U125">
        <f ca="1">IF($C125-U$1&lt;År1,0,T124*(1-VLOOKUP($A125,[1]Hugst!$R$5:$W$9,MATCH(ROUNDUP((U$1)/10,0)*10,[1]Hugst!$R$4:$W$4,0))))</f>
        <v>639.45073841656517</v>
      </c>
      <c r="V125">
        <f ca="1">IF($C125-V$1&lt;År1,0,U124*(1-VLOOKUP($A125,[1]Hugst!$R$5:$W$9,MATCH(ROUNDUP((V$1)/10,0)*10,[1]Hugst!$R$4:$W$4,0))))</f>
        <v>638.36834935526247</v>
      </c>
      <c r="W125">
        <f ca="1">IF($C125-W$1&lt;År1,0,V124*(1-VLOOKUP($A125,[1]Hugst!$R$5:$W$9,MATCH(ROUNDUP((W$1)/10,0)*10,[1]Hugst!$R$4:$W$4,0))))</f>
        <v>637.29010637313627</v>
      </c>
      <c r="X125">
        <f ca="1">IF($C125-X$1&lt;År1,0,W124*(1-VLOOKUP($A125,[1]Hugst!$R$5:$W$9,MATCH(ROUNDUP((X$1)/10,0)*10,[1]Hugst!$R$4:$W$4,0))))</f>
        <v>636.21601185821157</v>
      </c>
      <c r="Y125">
        <f ca="1">IF($C125-Y$1&lt;År1,0,X124*(1-VLOOKUP($A125,[1]Hugst!$R$5:$W$9,MATCH(ROUNDUP((Y$1)/10,0)*10,[1]Hugst!$R$4:$W$4,0))))</f>
        <v>635.14606822528174</v>
      </c>
      <c r="Z125">
        <f ca="1">IF($C125-Z$1&lt;År1,0,Y124*(1-VLOOKUP($A125,[1]Hugst!$R$5:$W$9,MATCH(ROUNDUP((Z$1)/10,0)*10,[1]Hugst!$R$4:$W$4,0))))</f>
        <v>932.23906840608618</v>
      </c>
      <c r="AA125">
        <f ca="1">IF($C125-AA$1&lt;År1,0,Z124*(1-VLOOKUP($A125,[1]Hugst!$R$5:$W$9,MATCH(ROUNDUP((AA$1)/10,0)*10,[1]Hugst!$R$4:$W$4,0))))</f>
        <v>930.52514717193253</v>
      </c>
      <c r="AB125">
        <f ca="1">IF($C125-AB$1&lt;År1,0,AA124*(1-VLOOKUP($A125,[1]Hugst!$R$5:$W$9,MATCH(ROUNDUP((AB$1)/10,0)*10,[1]Hugst!$R$4:$W$4,0))))</f>
        <v>930.25697740394344</v>
      </c>
      <c r="AC125">
        <f ca="1">IF($C125-AC$1&lt;År1,0,AB124*(1-VLOOKUP($A125,[1]Hugst!$R$5:$W$9,MATCH(ROUNDUP((AC$1)/10,0)*10,[1]Hugst!$R$4:$W$4,0))))</f>
        <v>929.993695139843</v>
      </c>
      <c r="AD125">
        <f ca="1">IF($C125-AD$1&lt;År1,0,AC124*(1-VLOOKUP($A125,[1]Hugst!$R$5:$W$9,MATCH(ROUNDUP((AD$1)/10,0)*10,[1]Hugst!$R$4:$W$4,0))))</f>
        <v>929.73530638760872</v>
      </c>
      <c r="AE125">
        <f ca="1">IF($C125-AE$1&lt;År1,0,AD124*(1-VLOOKUP($A125,[1]Hugst!$R$5:$W$9,MATCH(ROUNDUP((AE$1)/10,0)*10,[1]Hugst!$R$4:$W$4,0))))</f>
        <v>929.48181719225283</v>
      </c>
      <c r="AF125">
        <f ca="1">IF($C125-AF$1&lt;År1,0,AE124*(1-VLOOKUP($A125,[1]Hugst!$R$5:$W$9,MATCH(ROUNDUP((AF$1)/10,0)*10,[1]Hugst!$R$4:$W$4,0))))</f>
        <v>929.23323363607108</v>
      </c>
      <c r="AG125">
        <f ca="1">IF($C125-AG$1&lt;År1,0,AF124*(1-VLOOKUP($A125,[1]Hugst!$R$5:$W$9,MATCH(ROUNDUP((AG$1)/10,0)*10,[1]Hugst!$R$4:$W$4,0))))</f>
        <v>928.98956183857752</v>
      </c>
      <c r="AH125">
        <f ca="1">IF($C125-AH$1&lt;År1,0,AG124*(1-VLOOKUP($A125,[1]Hugst!$R$5:$W$9,MATCH(ROUNDUP((AH$1)/10,0)*10,[1]Hugst!$R$4:$W$4,0))))</f>
        <v>928.75080795672386</v>
      </c>
      <c r="AI125">
        <f ca="1">IF($C125-AI$1&lt;År1,0,AH124*(1-VLOOKUP($A125,[1]Hugst!$R$5:$W$9,MATCH(ROUNDUP((AI$1)/10,0)*10,[1]Hugst!$R$4:$W$4,0))))</f>
        <v>928.51697818488663</v>
      </c>
      <c r="AJ125">
        <f ca="1">IF($C125-AJ$1&lt;År1,0,AI124*(1-VLOOKUP($A125,[1]Hugst!$R$5:$W$9,MATCH(ROUNDUP((AJ$1)/10,0)*10,[1]Hugst!$R$4:$W$4,0))))</f>
        <v>929.07613264421627</v>
      </c>
      <c r="AL125">
        <f ca="1">SUM(F125:AJ125)</f>
        <v>23080.605756797257</v>
      </c>
    </row>
    <row r="126" spans="1:38" x14ac:dyDescent="0.55000000000000004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602.03212367175934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601.48829301972796</v>
      </c>
      <c r="G127">
        <f ca="1">IF($C127-G$1&lt;År1,0,F126*(1-VLOOKUP($A127,[1]Hugst!$R$5:$W$9,MATCH(ROUNDUP((G$1)/10,0)*10,[1]Hugst!$R$4:$W$4,0))))</f>
        <v>602.03212367175934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630392.57650432875</v>
      </c>
    </row>
    <row r="128" spans="1:38" x14ac:dyDescent="0.55000000000000004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600.94718152096243</v>
      </c>
      <c r="G128">
        <f ca="1">IF($C128-G$1&lt;År1,0,F127*(1-VLOOKUP($A128,[1]Hugst!$R$5:$W$9,MATCH(ROUNDUP((G$1)/10,0)*10,[1]Hugst!$R$4:$W$4,0))))</f>
        <v>601.48829301972796</v>
      </c>
      <c r="H128">
        <f ca="1">IF($C128-H$1&lt;År1,0,G127*(1-VLOOKUP($A128,[1]Hugst!$R$5:$W$9,MATCH(ROUNDUP((H$1)/10,0)*10,[1]Hugst!$R$4:$W$4,0))))</f>
        <v>602.03212367175934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55000000000000004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600.40877557968702</v>
      </c>
      <c r="G129">
        <f ca="1">IF($C129-G$1&lt;År1,0,F128*(1-VLOOKUP($A129,[1]Hugst!$R$5:$W$9,MATCH(ROUNDUP((G$1)/10,0)*10,[1]Hugst!$R$4:$W$4,0))))</f>
        <v>600.94718152096243</v>
      </c>
      <c r="H129">
        <f ca="1">IF($C129-H$1&lt;År1,0,G128*(1-VLOOKUP($A129,[1]Hugst!$R$5:$W$9,MATCH(ROUNDUP((H$1)/10,0)*10,[1]Hugst!$R$4:$W$4,0))))</f>
        <v>601.48829301972796</v>
      </c>
      <c r="I129">
        <f ca="1">IF($C129-I$1&lt;År1,0,H128*(1-VLOOKUP($A129,[1]Hugst!$R$5:$W$9,MATCH(ROUNDUP((I$1)/10,0)*10,[1]Hugst!$R$4:$W$4,0))))</f>
        <v>602.03212367175934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55000000000000004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599.87306166811823</v>
      </c>
      <c r="G130">
        <f ca="1">IF($C130-G$1&lt;År1,0,F129*(1-VLOOKUP($A130,[1]Hugst!$R$5:$W$9,MATCH(ROUNDUP((G$1)/10,0)*10,[1]Hugst!$R$4:$W$4,0))))</f>
        <v>600.40877557968702</v>
      </c>
      <c r="H130">
        <f ca="1">IF($C130-H$1&lt;År1,0,G129*(1-VLOOKUP($A130,[1]Hugst!$R$5:$W$9,MATCH(ROUNDUP((H$1)/10,0)*10,[1]Hugst!$R$4:$W$4,0))))</f>
        <v>600.94718152096243</v>
      </c>
      <c r="I130">
        <f ca="1">IF($C130-I$1&lt;År1,0,H129*(1-VLOOKUP($A130,[1]Hugst!$R$5:$W$9,MATCH(ROUNDUP((I$1)/10,0)*10,[1]Hugst!$R$4:$W$4,0))))</f>
        <v>601.48829301972796</v>
      </c>
      <c r="J130">
        <f ca="1">IF($C130-J$1&lt;År1,0,I129*(1-VLOOKUP($A130,[1]Hugst!$R$5:$W$9,MATCH(ROUNDUP((J$1)/10,0)*10,[1]Hugst!$R$4:$W$4,0))))</f>
        <v>602.03212367175934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55000000000000004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599.34002632610714</v>
      </c>
      <c r="G131">
        <f ca="1">IF($C131-G$1&lt;År1,0,F130*(1-VLOOKUP($A131,[1]Hugst!$R$5:$W$9,MATCH(ROUNDUP((G$1)/10,0)*10,[1]Hugst!$R$4:$W$4,0))))</f>
        <v>599.87306166811823</v>
      </c>
      <c r="H131">
        <f ca="1">IF($C131-H$1&lt;År1,0,G130*(1-VLOOKUP($A131,[1]Hugst!$R$5:$W$9,MATCH(ROUNDUP((H$1)/10,0)*10,[1]Hugst!$R$4:$W$4,0))))</f>
        <v>600.40877557968702</v>
      </c>
      <c r="I131">
        <f ca="1">IF($C131-I$1&lt;År1,0,H130*(1-VLOOKUP($A131,[1]Hugst!$R$5:$W$9,MATCH(ROUNDUP((I$1)/10,0)*10,[1]Hugst!$R$4:$W$4,0))))</f>
        <v>600.94718152096243</v>
      </c>
      <c r="J131">
        <f ca="1">IF($C131-J$1&lt;År1,0,I130*(1-VLOOKUP($A131,[1]Hugst!$R$5:$W$9,MATCH(ROUNDUP((J$1)/10,0)*10,[1]Hugst!$R$4:$W$4,0))))</f>
        <v>601.48829301972796</v>
      </c>
      <c r="K131">
        <f ca="1">IF($C131-K$1&lt;År1,0,J130*(1-VLOOKUP($A131,[1]Hugst!$R$5:$W$9,MATCH(ROUNDUP((K$1)/10,0)*10,[1]Hugst!$R$4:$W$4,0))))</f>
        <v>602.03212367175934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55000000000000004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598.80965616080709</v>
      </c>
      <c r="G132">
        <f ca="1">IF($C132-G$1&lt;År1,0,F131*(1-VLOOKUP($A132,[1]Hugst!$R$5:$W$9,MATCH(ROUNDUP((G$1)/10,0)*10,[1]Hugst!$R$4:$W$4,0))))</f>
        <v>599.34002632610714</v>
      </c>
      <c r="H132">
        <f ca="1">IF($C132-H$1&lt;År1,0,G131*(1-VLOOKUP($A132,[1]Hugst!$R$5:$W$9,MATCH(ROUNDUP((H$1)/10,0)*10,[1]Hugst!$R$4:$W$4,0))))</f>
        <v>599.87306166811823</v>
      </c>
      <c r="I132">
        <f ca="1">IF($C132-I$1&lt;År1,0,H131*(1-VLOOKUP($A132,[1]Hugst!$R$5:$W$9,MATCH(ROUNDUP((I$1)/10,0)*10,[1]Hugst!$R$4:$W$4,0))))</f>
        <v>600.40877557968702</v>
      </c>
      <c r="J132">
        <f ca="1">IF($C132-J$1&lt;År1,0,I131*(1-VLOOKUP($A132,[1]Hugst!$R$5:$W$9,MATCH(ROUNDUP((J$1)/10,0)*10,[1]Hugst!$R$4:$W$4,0))))</f>
        <v>600.94718152096243</v>
      </c>
      <c r="K132">
        <f ca="1">IF($C132-K$1&lt;År1,0,J131*(1-VLOOKUP($A132,[1]Hugst!$R$5:$W$9,MATCH(ROUNDUP((K$1)/10,0)*10,[1]Hugst!$R$4:$W$4,0))))</f>
        <v>601.48829301972796</v>
      </c>
      <c r="L132">
        <f ca="1">IF($C132-L$1&lt;År1,0,K131*(1-VLOOKUP($A132,[1]Hugst!$R$5:$W$9,MATCH(ROUNDUP((L$1)/10,0)*10,[1]Hugst!$R$4:$W$4,0))))</f>
        <v>602.03212367175934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55000000000000004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598.28193784633402</v>
      </c>
      <c r="G133">
        <f ca="1">IF($C133-G$1&lt;År1,0,F132*(1-VLOOKUP($A133,[1]Hugst!$R$5:$W$9,MATCH(ROUNDUP((G$1)/10,0)*10,[1]Hugst!$R$4:$W$4,0))))</f>
        <v>598.80965616080709</v>
      </c>
      <c r="H133">
        <f ca="1">IF($C133-H$1&lt;År1,0,G132*(1-VLOOKUP($A133,[1]Hugst!$R$5:$W$9,MATCH(ROUNDUP((H$1)/10,0)*10,[1]Hugst!$R$4:$W$4,0))))</f>
        <v>599.34002632610714</v>
      </c>
      <c r="I133">
        <f ca="1">IF($C133-I$1&lt;År1,0,H132*(1-VLOOKUP($A133,[1]Hugst!$R$5:$W$9,MATCH(ROUNDUP((I$1)/10,0)*10,[1]Hugst!$R$4:$W$4,0))))</f>
        <v>599.87306166811823</v>
      </c>
      <c r="J133">
        <f ca="1">IF($C133-J$1&lt;År1,0,I132*(1-VLOOKUP($A133,[1]Hugst!$R$5:$W$9,MATCH(ROUNDUP((J$1)/10,0)*10,[1]Hugst!$R$4:$W$4,0))))</f>
        <v>600.40877557968702</v>
      </c>
      <c r="K133">
        <f ca="1">IF($C133-K$1&lt;År1,0,J132*(1-VLOOKUP($A133,[1]Hugst!$R$5:$W$9,MATCH(ROUNDUP((K$1)/10,0)*10,[1]Hugst!$R$4:$W$4,0))))</f>
        <v>600.94718152096243</v>
      </c>
      <c r="L133">
        <f ca="1">IF($C133-L$1&lt;År1,0,K132*(1-VLOOKUP($A133,[1]Hugst!$R$5:$W$9,MATCH(ROUNDUP((L$1)/10,0)*10,[1]Hugst!$R$4:$W$4,0))))</f>
        <v>601.48829301972796</v>
      </c>
      <c r="M133">
        <f ca="1">IF($C133-M$1&lt;År1,0,L132*(1-VLOOKUP($A133,[1]Hugst!$R$5:$W$9,MATCH(ROUNDUP((M$1)/10,0)*10,[1]Hugst!$R$4:$W$4,0))))</f>
        <v>602.03212367175934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55000000000000004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597.75685812343352</v>
      </c>
      <c r="G134">
        <f ca="1">IF($C134-G$1&lt;År1,0,F133*(1-VLOOKUP($A134,[1]Hugst!$R$5:$W$9,MATCH(ROUNDUP((G$1)/10,0)*10,[1]Hugst!$R$4:$W$4,0))))</f>
        <v>598.28193784633402</v>
      </c>
      <c r="H134">
        <f ca="1">IF($C134-H$1&lt;År1,0,G133*(1-VLOOKUP($A134,[1]Hugst!$R$5:$W$9,MATCH(ROUNDUP((H$1)/10,0)*10,[1]Hugst!$R$4:$W$4,0))))</f>
        <v>598.80965616080709</v>
      </c>
      <c r="I134">
        <f ca="1">IF($C134-I$1&lt;År1,0,H133*(1-VLOOKUP($A134,[1]Hugst!$R$5:$W$9,MATCH(ROUNDUP((I$1)/10,0)*10,[1]Hugst!$R$4:$W$4,0))))</f>
        <v>599.34002632610714</v>
      </c>
      <c r="J134">
        <f ca="1">IF($C134-J$1&lt;År1,0,I133*(1-VLOOKUP($A134,[1]Hugst!$R$5:$W$9,MATCH(ROUNDUP((J$1)/10,0)*10,[1]Hugst!$R$4:$W$4,0))))</f>
        <v>599.87306166811823</v>
      </c>
      <c r="K134">
        <f ca="1">IF($C134-K$1&lt;År1,0,J133*(1-VLOOKUP($A134,[1]Hugst!$R$5:$W$9,MATCH(ROUNDUP((K$1)/10,0)*10,[1]Hugst!$R$4:$W$4,0))))</f>
        <v>600.40877557968702</v>
      </c>
      <c r="L134">
        <f ca="1">IF($C134-L$1&lt;År1,0,K133*(1-VLOOKUP($A134,[1]Hugst!$R$5:$W$9,MATCH(ROUNDUP((L$1)/10,0)*10,[1]Hugst!$R$4:$W$4,0))))</f>
        <v>600.94718152096243</v>
      </c>
      <c r="M134">
        <f ca="1">IF($C134-M$1&lt;År1,0,L133*(1-VLOOKUP($A134,[1]Hugst!$R$5:$W$9,MATCH(ROUNDUP((M$1)/10,0)*10,[1]Hugst!$R$4:$W$4,0))))</f>
        <v>601.48829301972796</v>
      </c>
      <c r="N134">
        <f ca="1">IF($C134-N$1&lt;År1,0,M133*(1-VLOOKUP($A134,[1]Hugst!$R$5:$W$9,MATCH(ROUNDUP((N$1)/10,0)*10,[1]Hugst!$R$4:$W$4,0))))</f>
        <v>602.03212367175934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55000000000000004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597.23440379914155</v>
      </c>
      <c r="G135">
        <f ca="1">IF($C135-G$1&lt;År1,0,F134*(1-VLOOKUP($A135,[1]Hugst!$R$5:$W$9,MATCH(ROUNDUP((G$1)/10,0)*10,[1]Hugst!$R$4:$W$4,0))))</f>
        <v>597.75685812343352</v>
      </c>
      <c r="H135">
        <f ca="1">IF($C135-H$1&lt;År1,0,G134*(1-VLOOKUP($A135,[1]Hugst!$R$5:$W$9,MATCH(ROUNDUP((H$1)/10,0)*10,[1]Hugst!$R$4:$W$4,0))))</f>
        <v>598.28193784633402</v>
      </c>
      <c r="I135">
        <f ca="1">IF($C135-I$1&lt;År1,0,H134*(1-VLOOKUP($A135,[1]Hugst!$R$5:$W$9,MATCH(ROUNDUP((I$1)/10,0)*10,[1]Hugst!$R$4:$W$4,0))))</f>
        <v>598.80965616080709</v>
      </c>
      <c r="J135">
        <f ca="1">IF($C135-J$1&lt;År1,0,I134*(1-VLOOKUP($A135,[1]Hugst!$R$5:$W$9,MATCH(ROUNDUP((J$1)/10,0)*10,[1]Hugst!$R$4:$W$4,0))))</f>
        <v>599.34002632610714</v>
      </c>
      <c r="K135">
        <f ca="1">IF($C135-K$1&lt;År1,0,J134*(1-VLOOKUP($A135,[1]Hugst!$R$5:$W$9,MATCH(ROUNDUP((K$1)/10,0)*10,[1]Hugst!$R$4:$W$4,0))))</f>
        <v>599.87306166811823</v>
      </c>
      <c r="L135">
        <f ca="1">IF($C135-L$1&lt;År1,0,K134*(1-VLOOKUP($A135,[1]Hugst!$R$5:$W$9,MATCH(ROUNDUP((L$1)/10,0)*10,[1]Hugst!$R$4:$W$4,0))))</f>
        <v>600.40877557968702</v>
      </c>
      <c r="M135">
        <f ca="1">IF($C135-M$1&lt;År1,0,L134*(1-VLOOKUP($A135,[1]Hugst!$R$5:$W$9,MATCH(ROUNDUP((M$1)/10,0)*10,[1]Hugst!$R$4:$W$4,0))))</f>
        <v>600.94718152096243</v>
      </c>
      <c r="N135">
        <f ca="1">IF($C135-N$1&lt;År1,0,M134*(1-VLOOKUP($A135,[1]Hugst!$R$5:$W$9,MATCH(ROUNDUP((N$1)/10,0)*10,[1]Hugst!$R$4:$W$4,0))))</f>
        <v>601.48829301972796</v>
      </c>
      <c r="O135">
        <f ca="1">IF($C135-O$1&lt;År1,0,N134*(1-VLOOKUP($A135,[1]Hugst!$R$5:$W$9,MATCH(ROUNDUP((O$1)/10,0)*10,[1]Hugst!$R$4:$W$4,0))))</f>
        <v>602.03212367175934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55000000000000004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596.71456174648119</v>
      </c>
      <c r="G136">
        <f ca="1">IF($C136-G$1&lt;År1,0,F135*(1-VLOOKUP($A136,[1]Hugst!$R$5:$W$9,MATCH(ROUNDUP((G$1)/10,0)*10,[1]Hugst!$R$4:$W$4,0))))</f>
        <v>597.23440379914155</v>
      </c>
      <c r="H136">
        <f ca="1">IF($C136-H$1&lt;År1,0,G135*(1-VLOOKUP($A136,[1]Hugst!$R$5:$W$9,MATCH(ROUNDUP((H$1)/10,0)*10,[1]Hugst!$R$4:$W$4,0))))</f>
        <v>597.75685812343352</v>
      </c>
      <c r="I136">
        <f ca="1">IF($C136-I$1&lt;År1,0,H135*(1-VLOOKUP($A136,[1]Hugst!$R$5:$W$9,MATCH(ROUNDUP((I$1)/10,0)*10,[1]Hugst!$R$4:$W$4,0))))</f>
        <v>598.28193784633402</v>
      </c>
      <c r="J136">
        <f ca="1">IF($C136-J$1&lt;År1,0,I135*(1-VLOOKUP($A136,[1]Hugst!$R$5:$W$9,MATCH(ROUNDUP((J$1)/10,0)*10,[1]Hugst!$R$4:$W$4,0))))</f>
        <v>598.80965616080709</v>
      </c>
      <c r="K136">
        <f ca="1">IF($C136-K$1&lt;År1,0,J135*(1-VLOOKUP($A136,[1]Hugst!$R$5:$W$9,MATCH(ROUNDUP((K$1)/10,0)*10,[1]Hugst!$R$4:$W$4,0))))</f>
        <v>599.34002632610714</v>
      </c>
      <c r="L136">
        <f ca="1">IF($C136-L$1&lt;År1,0,K135*(1-VLOOKUP($A136,[1]Hugst!$R$5:$W$9,MATCH(ROUNDUP((L$1)/10,0)*10,[1]Hugst!$R$4:$W$4,0))))</f>
        <v>599.87306166811823</v>
      </c>
      <c r="M136">
        <f ca="1">IF($C136-M$1&lt;År1,0,L135*(1-VLOOKUP($A136,[1]Hugst!$R$5:$W$9,MATCH(ROUNDUP((M$1)/10,0)*10,[1]Hugst!$R$4:$W$4,0))))</f>
        <v>600.40877557968702</v>
      </c>
      <c r="N136">
        <f ca="1">IF($C136-N$1&lt;År1,0,M135*(1-VLOOKUP($A136,[1]Hugst!$R$5:$W$9,MATCH(ROUNDUP((N$1)/10,0)*10,[1]Hugst!$R$4:$W$4,0))))</f>
        <v>600.94718152096243</v>
      </c>
      <c r="O136">
        <f ca="1">IF($C136-O$1&lt;År1,0,N135*(1-VLOOKUP($A136,[1]Hugst!$R$5:$W$9,MATCH(ROUNDUP((O$1)/10,0)*10,[1]Hugst!$R$4:$W$4,0))))</f>
        <v>601.48829301972796</v>
      </c>
      <c r="P136">
        <f ca="1">IF($C136-P$1&lt;År1,0,O135*(1-VLOOKUP($A136,[1]Hugst!$R$5:$W$9,MATCH(ROUNDUP((P$1)/10,0)*10,[1]Hugst!$R$4:$W$4,0))))</f>
        <v>602.03212367175934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55000000000000004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374.22762193437535</v>
      </c>
      <c r="G137">
        <f ca="1">IF($C137-G$1&lt;År1,0,F136*(1-VLOOKUP($A137,[1]Hugst!$R$5:$W$9,MATCH(ROUNDUP((G$1)/10,0)*10,[1]Hugst!$R$4:$W$4,0))))</f>
        <v>596.71456174648119</v>
      </c>
      <c r="H137">
        <f ca="1">IF($C137-H$1&lt;År1,0,G136*(1-VLOOKUP($A137,[1]Hugst!$R$5:$W$9,MATCH(ROUNDUP((H$1)/10,0)*10,[1]Hugst!$R$4:$W$4,0))))</f>
        <v>597.23440379914155</v>
      </c>
      <c r="I137">
        <f ca="1">IF($C137-I$1&lt;År1,0,H136*(1-VLOOKUP($A137,[1]Hugst!$R$5:$W$9,MATCH(ROUNDUP((I$1)/10,0)*10,[1]Hugst!$R$4:$W$4,0))))</f>
        <v>597.75685812343352</v>
      </c>
      <c r="J137">
        <f ca="1">IF($C137-J$1&lt;År1,0,I136*(1-VLOOKUP($A137,[1]Hugst!$R$5:$W$9,MATCH(ROUNDUP((J$1)/10,0)*10,[1]Hugst!$R$4:$W$4,0))))</f>
        <v>598.28193784633402</v>
      </c>
      <c r="K137">
        <f ca="1">IF($C137-K$1&lt;År1,0,J136*(1-VLOOKUP($A137,[1]Hugst!$R$5:$W$9,MATCH(ROUNDUP((K$1)/10,0)*10,[1]Hugst!$R$4:$W$4,0))))</f>
        <v>598.80965616080709</v>
      </c>
      <c r="L137">
        <f ca="1">IF($C137-L$1&lt;År1,0,K136*(1-VLOOKUP($A137,[1]Hugst!$R$5:$W$9,MATCH(ROUNDUP((L$1)/10,0)*10,[1]Hugst!$R$4:$W$4,0))))</f>
        <v>599.34002632610714</v>
      </c>
      <c r="M137">
        <f ca="1">IF($C137-M$1&lt;År1,0,L136*(1-VLOOKUP($A137,[1]Hugst!$R$5:$W$9,MATCH(ROUNDUP((M$1)/10,0)*10,[1]Hugst!$R$4:$W$4,0))))</f>
        <v>599.87306166811823</v>
      </c>
      <c r="N137">
        <f ca="1">IF($C137-N$1&lt;År1,0,M136*(1-VLOOKUP($A137,[1]Hugst!$R$5:$W$9,MATCH(ROUNDUP((N$1)/10,0)*10,[1]Hugst!$R$4:$W$4,0))))</f>
        <v>600.40877557968702</v>
      </c>
      <c r="O137">
        <f ca="1">IF($C137-O$1&lt;År1,0,N136*(1-VLOOKUP($A137,[1]Hugst!$R$5:$W$9,MATCH(ROUNDUP((O$1)/10,0)*10,[1]Hugst!$R$4:$W$4,0))))</f>
        <v>600.94718152096243</v>
      </c>
      <c r="P137">
        <f ca="1">IF($C137-P$1&lt;År1,0,O136*(1-VLOOKUP($A137,[1]Hugst!$R$5:$W$9,MATCH(ROUNDUP((P$1)/10,0)*10,[1]Hugst!$R$4:$W$4,0))))</f>
        <v>601.48829301972796</v>
      </c>
      <c r="Q137">
        <f ca="1">IF($C137-Q$1&lt;År1,0,P136*(1-VLOOKUP($A137,[1]Hugst!$R$5:$W$9,MATCH(ROUNDUP((Q$1)/10,0)*10,[1]Hugst!$R$4:$W$4,0))))</f>
        <v>602.03212367175934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55000000000000004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373.71296530619003</v>
      </c>
      <c r="G138">
        <f ca="1">IF($C138-G$1&lt;År1,0,F137*(1-VLOOKUP($A138,[1]Hugst!$R$5:$W$9,MATCH(ROUNDUP((G$1)/10,0)*10,[1]Hugst!$R$4:$W$4,0))))</f>
        <v>374.22762193437535</v>
      </c>
      <c r="H138">
        <f ca="1">IF($C138-H$1&lt;År1,0,G137*(1-VLOOKUP($A138,[1]Hugst!$R$5:$W$9,MATCH(ROUNDUP((H$1)/10,0)*10,[1]Hugst!$R$4:$W$4,0))))</f>
        <v>596.71456174648119</v>
      </c>
      <c r="I138">
        <f ca="1">IF($C138-I$1&lt;År1,0,H137*(1-VLOOKUP($A138,[1]Hugst!$R$5:$W$9,MATCH(ROUNDUP((I$1)/10,0)*10,[1]Hugst!$R$4:$W$4,0))))</f>
        <v>597.23440379914155</v>
      </c>
      <c r="J138">
        <f ca="1">IF($C138-J$1&lt;År1,0,I137*(1-VLOOKUP($A138,[1]Hugst!$R$5:$W$9,MATCH(ROUNDUP((J$1)/10,0)*10,[1]Hugst!$R$4:$W$4,0))))</f>
        <v>597.75685812343352</v>
      </c>
      <c r="K138">
        <f ca="1">IF($C138-K$1&lt;År1,0,J137*(1-VLOOKUP($A138,[1]Hugst!$R$5:$W$9,MATCH(ROUNDUP((K$1)/10,0)*10,[1]Hugst!$R$4:$W$4,0))))</f>
        <v>598.28193784633402</v>
      </c>
      <c r="L138">
        <f ca="1">IF($C138-L$1&lt;År1,0,K137*(1-VLOOKUP($A138,[1]Hugst!$R$5:$W$9,MATCH(ROUNDUP((L$1)/10,0)*10,[1]Hugst!$R$4:$W$4,0))))</f>
        <v>598.80965616080709</v>
      </c>
      <c r="M138">
        <f ca="1">IF($C138-M$1&lt;År1,0,L137*(1-VLOOKUP($A138,[1]Hugst!$R$5:$W$9,MATCH(ROUNDUP((M$1)/10,0)*10,[1]Hugst!$R$4:$W$4,0))))</f>
        <v>599.34002632610714</v>
      </c>
      <c r="N138">
        <f ca="1">IF($C138-N$1&lt;År1,0,M137*(1-VLOOKUP($A138,[1]Hugst!$R$5:$W$9,MATCH(ROUNDUP((N$1)/10,0)*10,[1]Hugst!$R$4:$W$4,0))))</f>
        <v>599.87306166811823</v>
      </c>
      <c r="O138">
        <f ca="1">IF($C138-O$1&lt;År1,0,N137*(1-VLOOKUP($A138,[1]Hugst!$R$5:$W$9,MATCH(ROUNDUP((O$1)/10,0)*10,[1]Hugst!$R$4:$W$4,0))))</f>
        <v>600.40877557968702</v>
      </c>
      <c r="P138">
        <f ca="1">IF($C138-P$1&lt;År1,0,O137*(1-VLOOKUP($A138,[1]Hugst!$R$5:$W$9,MATCH(ROUNDUP((P$1)/10,0)*10,[1]Hugst!$R$4:$W$4,0))))</f>
        <v>600.94718152096243</v>
      </c>
      <c r="Q138">
        <f ca="1">IF($C138-Q$1&lt;År1,0,P137*(1-VLOOKUP($A138,[1]Hugst!$R$5:$W$9,MATCH(ROUNDUP((Q$1)/10,0)*10,[1]Hugst!$R$4:$W$4,0))))</f>
        <v>601.48829301972796</v>
      </c>
      <c r="R138">
        <f ca="1">IF($C138-R$1&lt;År1,0,Q137*(1-VLOOKUP($A138,[1]Hugst!$R$5:$W$9,MATCH(ROUNDUP((R$1)/10,0)*10,[1]Hugst!$R$4:$W$4,0))))</f>
        <v>602.03212367175934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55000000000000004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373.2008819611379</v>
      </c>
      <c r="G139">
        <f ca="1">IF($C139-G$1&lt;År1,0,F138*(1-VLOOKUP($A139,[1]Hugst!$R$5:$W$9,MATCH(ROUNDUP((G$1)/10,0)*10,[1]Hugst!$R$4:$W$4,0))))</f>
        <v>373.71296530619003</v>
      </c>
      <c r="H139">
        <f ca="1">IF($C139-H$1&lt;År1,0,G138*(1-VLOOKUP($A139,[1]Hugst!$R$5:$W$9,MATCH(ROUNDUP((H$1)/10,0)*10,[1]Hugst!$R$4:$W$4,0))))</f>
        <v>374.22762193437535</v>
      </c>
      <c r="I139">
        <f ca="1">IF($C139-I$1&lt;År1,0,H138*(1-VLOOKUP($A139,[1]Hugst!$R$5:$W$9,MATCH(ROUNDUP((I$1)/10,0)*10,[1]Hugst!$R$4:$W$4,0))))</f>
        <v>596.71456174648119</v>
      </c>
      <c r="J139">
        <f ca="1">IF($C139-J$1&lt;År1,0,I138*(1-VLOOKUP($A139,[1]Hugst!$R$5:$W$9,MATCH(ROUNDUP((J$1)/10,0)*10,[1]Hugst!$R$4:$W$4,0))))</f>
        <v>597.23440379914155</v>
      </c>
      <c r="K139">
        <f ca="1">IF($C139-K$1&lt;År1,0,J138*(1-VLOOKUP($A139,[1]Hugst!$R$5:$W$9,MATCH(ROUNDUP((K$1)/10,0)*10,[1]Hugst!$R$4:$W$4,0))))</f>
        <v>597.75685812343352</v>
      </c>
      <c r="L139">
        <f ca="1">IF($C139-L$1&lt;År1,0,K138*(1-VLOOKUP($A139,[1]Hugst!$R$5:$W$9,MATCH(ROUNDUP((L$1)/10,0)*10,[1]Hugst!$R$4:$W$4,0))))</f>
        <v>598.28193784633402</v>
      </c>
      <c r="M139">
        <f ca="1">IF($C139-M$1&lt;År1,0,L138*(1-VLOOKUP($A139,[1]Hugst!$R$5:$W$9,MATCH(ROUNDUP((M$1)/10,0)*10,[1]Hugst!$R$4:$W$4,0))))</f>
        <v>598.80965616080709</v>
      </c>
      <c r="N139">
        <f ca="1">IF($C139-N$1&lt;År1,0,M138*(1-VLOOKUP($A139,[1]Hugst!$R$5:$W$9,MATCH(ROUNDUP((N$1)/10,0)*10,[1]Hugst!$R$4:$W$4,0))))</f>
        <v>599.34002632610714</v>
      </c>
      <c r="O139">
        <f ca="1">IF($C139-O$1&lt;År1,0,N138*(1-VLOOKUP($A139,[1]Hugst!$R$5:$W$9,MATCH(ROUNDUP((O$1)/10,0)*10,[1]Hugst!$R$4:$W$4,0))))</f>
        <v>599.87306166811823</v>
      </c>
      <c r="P139">
        <f ca="1">IF($C139-P$1&lt;År1,0,O138*(1-VLOOKUP($A139,[1]Hugst!$R$5:$W$9,MATCH(ROUNDUP((P$1)/10,0)*10,[1]Hugst!$R$4:$W$4,0))))</f>
        <v>600.40877557968702</v>
      </c>
      <c r="Q139">
        <f ca="1">IF($C139-Q$1&lt;År1,0,P138*(1-VLOOKUP($A139,[1]Hugst!$R$5:$W$9,MATCH(ROUNDUP((Q$1)/10,0)*10,[1]Hugst!$R$4:$W$4,0))))</f>
        <v>600.94718152096243</v>
      </c>
      <c r="R139">
        <f ca="1">IF($C139-R$1&lt;År1,0,Q138*(1-VLOOKUP($A139,[1]Hugst!$R$5:$W$9,MATCH(ROUNDUP((R$1)/10,0)*10,[1]Hugst!$R$4:$W$4,0))))</f>
        <v>601.48829301972796</v>
      </c>
      <c r="S139">
        <f ca="1">IF($C139-S$1&lt;År1,0,R138*(1-VLOOKUP($A139,[1]Hugst!$R$5:$W$9,MATCH(ROUNDUP((S$1)/10,0)*10,[1]Hugst!$R$4:$W$4,0))))</f>
        <v>602.03212367175934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55000000000000004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372.69135903281409</v>
      </c>
      <c r="G140">
        <f ca="1">IF($C140-G$1&lt;År1,0,F139*(1-VLOOKUP($A140,[1]Hugst!$R$5:$W$9,MATCH(ROUNDUP((G$1)/10,0)*10,[1]Hugst!$R$4:$W$4,0))))</f>
        <v>373.2008819611379</v>
      </c>
      <c r="H140">
        <f ca="1">IF($C140-H$1&lt;År1,0,G139*(1-VLOOKUP($A140,[1]Hugst!$R$5:$W$9,MATCH(ROUNDUP((H$1)/10,0)*10,[1]Hugst!$R$4:$W$4,0))))</f>
        <v>373.71296530619003</v>
      </c>
      <c r="I140">
        <f ca="1">IF($C140-I$1&lt;År1,0,H139*(1-VLOOKUP($A140,[1]Hugst!$R$5:$W$9,MATCH(ROUNDUP((I$1)/10,0)*10,[1]Hugst!$R$4:$W$4,0))))</f>
        <v>374.22762193437535</v>
      </c>
      <c r="J140">
        <f ca="1">IF($C140-J$1&lt;År1,0,I139*(1-VLOOKUP($A140,[1]Hugst!$R$5:$W$9,MATCH(ROUNDUP((J$1)/10,0)*10,[1]Hugst!$R$4:$W$4,0))))</f>
        <v>596.71456174648119</v>
      </c>
      <c r="K140">
        <f ca="1">IF($C140-K$1&lt;År1,0,J139*(1-VLOOKUP($A140,[1]Hugst!$R$5:$W$9,MATCH(ROUNDUP((K$1)/10,0)*10,[1]Hugst!$R$4:$W$4,0))))</f>
        <v>597.23440379914155</v>
      </c>
      <c r="L140">
        <f ca="1">IF($C140-L$1&lt;År1,0,K139*(1-VLOOKUP($A140,[1]Hugst!$R$5:$W$9,MATCH(ROUNDUP((L$1)/10,0)*10,[1]Hugst!$R$4:$W$4,0))))</f>
        <v>597.75685812343352</v>
      </c>
      <c r="M140">
        <f ca="1">IF($C140-M$1&lt;År1,0,L139*(1-VLOOKUP($A140,[1]Hugst!$R$5:$W$9,MATCH(ROUNDUP((M$1)/10,0)*10,[1]Hugst!$R$4:$W$4,0))))</f>
        <v>598.28193784633402</v>
      </c>
      <c r="N140">
        <f ca="1">IF($C140-N$1&lt;År1,0,M139*(1-VLOOKUP($A140,[1]Hugst!$R$5:$W$9,MATCH(ROUNDUP((N$1)/10,0)*10,[1]Hugst!$R$4:$W$4,0))))</f>
        <v>598.80965616080709</v>
      </c>
      <c r="O140">
        <f ca="1">IF($C140-O$1&lt;År1,0,N139*(1-VLOOKUP($A140,[1]Hugst!$R$5:$W$9,MATCH(ROUNDUP((O$1)/10,0)*10,[1]Hugst!$R$4:$W$4,0))))</f>
        <v>599.34002632610714</v>
      </c>
      <c r="P140">
        <f ca="1">IF($C140-P$1&lt;År1,0,O139*(1-VLOOKUP($A140,[1]Hugst!$R$5:$W$9,MATCH(ROUNDUP((P$1)/10,0)*10,[1]Hugst!$R$4:$W$4,0))))</f>
        <v>599.87306166811823</v>
      </c>
      <c r="Q140">
        <f ca="1">IF($C140-Q$1&lt;År1,0,P139*(1-VLOOKUP($A140,[1]Hugst!$R$5:$W$9,MATCH(ROUNDUP((Q$1)/10,0)*10,[1]Hugst!$R$4:$W$4,0))))</f>
        <v>600.40877557968702</v>
      </c>
      <c r="R140">
        <f ca="1">IF($C140-R$1&lt;År1,0,Q139*(1-VLOOKUP($A140,[1]Hugst!$R$5:$W$9,MATCH(ROUNDUP((R$1)/10,0)*10,[1]Hugst!$R$4:$W$4,0))))</f>
        <v>600.94718152096243</v>
      </c>
      <c r="S140">
        <f ca="1">IF($C140-S$1&lt;År1,0,R139*(1-VLOOKUP($A140,[1]Hugst!$R$5:$W$9,MATCH(ROUNDUP((S$1)/10,0)*10,[1]Hugst!$R$4:$W$4,0))))</f>
        <v>601.48829301972796</v>
      </c>
      <c r="T140">
        <f ca="1">IF($C140-T$1&lt;År1,0,S139*(1-VLOOKUP($A140,[1]Hugst!$R$5:$W$9,MATCH(ROUNDUP((T$1)/10,0)*10,[1]Hugst!$R$4:$W$4,0))))</f>
        <v>602.03212367175934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55000000000000004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372.18438371913368</v>
      </c>
      <c r="G141">
        <f ca="1">IF($C141-G$1&lt;År1,0,F140*(1-VLOOKUP($A141,[1]Hugst!$R$5:$W$9,MATCH(ROUNDUP((G$1)/10,0)*10,[1]Hugst!$R$4:$W$4,0))))</f>
        <v>372.69135903281409</v>
      </c>
      <c r="H141">
        <f ca="1">IF($C141-H$1&lt;År1,0,G140*(1-VLOOKUP($A141,[1]Hugst!$R$5:$W$9,MATCH(ROUNDUP((H$1)/10,0)*10,[1]Hugst!$R$4:$W$4,0))))</f>
        <v>373.2008819611379</v>
      </c>
      <c r="I141">
        <f ca="1">IF($C141-I$1&lt;År1,0,H140*(1-VLOOKUP($A141,[1]Hugst!$R$5:$W$9,MATCH(ROUNDUP((I$1)/10,0)*10,[1]Hugst!$R$4:$W$4,0))))</f>
        <v>373.71296530619003</v>
      </c>
      <c r="J141">
        <f ca="1">IF($C141-J$1&lt;År1,0,I140*(1-VLOOKUP($A141,[1]Hugst!$R$5:$W$9,MATCH(ROUNDUP((J$1)/10,0)*10,[1]Hugst!$R$4:$W$4,0))))</f>
        <v>374.22762193437535</v>
      </c>
      <c r="K141">
        <f ca="1">IF($C141-K$1&lt;År1,0,J140*(1-VLOOKUP($A141,[1]Hugst!$R$5:$W$9,MATCH(ROUNDUP((K$1)/10,0)*10,[1]Hugst!$R$4:$W$4,0))))</f>
        <v>596.71456174648119</v>
      </c>
      <c r="L141">
        <f ca="1">IF($C141-L$1&lt;År1,0,K140*(1-VLOOKUP($A141,[1]Hugst!$R$5:$W$9,MATCH(ROUNDUP((L$1)/10,0)*10,[1]Hugst!$R$4:$W$4,0))))</f>
        <v>597.23440379914155</v>
      </c>
      <c r="M141">
        <f ca="1">IF($C141-M$1&lt;År1,0,L140*(1-VLOOKUP($A141,[1]Hugst!$R$5:$W$9,MATCH(ROUNDUP((M$1)/10,0)*10,[1]Hugst!$R$4:$W$4,0))))</f>
        <v>597.75685812343352</v>
      </c>
      <c r="N141">
        <f ca="1">IF($C141-N$1&lt;År1,0,M140*(1-VLOOKUP($A141,[1]Hugst!$R$5:$W$9,MATCH(ROUNDUP((N$1)/10,0)*10,[1]Hugst!$R$4:$W$4,0))))</f>
        <v>598.28193784633402</v>
      </c>
      <c r="O141">
        <f ca="1">IF($C141-O$1&lt;År1,0,N140*(1-VLOOKUP($A141,[1]Hugst!$R$5:$W$9,MATCH(ROUNDUP((O$1)/10,0)*10,[1]Hugst!$R$4:$W$4,0))))</f>
        <v>598.80965616080709</v>
      </c>
      <c r="P141">
        <f ca="1">IF($C141-P$1&lt;År1,0,O140*(1-VLOOKUP($A141,[1]Hugst!$R$5:$W$9,MATCH(ROUNDUP((P$1)/10,0)*10,[1]Hugst!$R$4:$W$4,0))))</f>
        <v>599.34002632610714</v>
      </c>
      <c r="Q141">
        <f ca="1">IF($C141-Q$1&lt;År1,0,P140*(1-VLOOKUP($A141,[1]Hugst!$R$5:$W$9,MATCH(ROUNDUP((Q$1)/10,0)*10,[1]Hugst!$R$4:$W$4,0))))</f>
        <v>599.87306166811823</v>
      </c>
      <c r="R141">
        <f ca="1">IF($C141-R$1&lt;År1,0,Q140*(1-VLOOKUP($A141,[1]Hugst!$R$5:$W$9,MATCH(ROUNDUP((R$1)/10,0)*10,[1]Hugst!$R$4:$W$4,0))))</f>
        <v>600.40877557968702</v>
      </c>
      <c r="S141">
        <f ca="1">IF($C141-S$1&lt;År1,0,R140*(1-VLOOKUP($A141,[1]Hugst!$R$5:$W$9,MATCH(ROUNDUP((S$1)/10,0)*10,[1]Hugst!$R$4:$W$4,0))))</f>
        <v>600.94718152096243</v>
      </c>
      <c r="T141">
        <f ca="1">IF($C141-T$1&lt;År1,0,S140*(1-VLOOKUP($A141,[1]Hugst!$R$5:$W$9,MATCH(ROUNDUP((T$1)/10,0)*10,[1]Hugst!$R$4:$W$4,0))))</f>
        <v>601.48829301972796</v>
      </c>
      <c r="U141">
        <f ca="1">IF($C141-U$1&lt;År1,0,T140*(1-VLOOKUP($A141,[1]Hugst!$R$5:$W$9,MATCH(ROUNDUP((U$1)/10,0)*10,[1]Hugst!$R$4:$W$4,0))))</f>
        <v>602.03212367175934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55000000000000004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371.679943282019</v>
      </c>
      <c r="G142">
        <f ca="1">IF($C142-G$1&lt;År1,0,F141*(1-VLOOKUP($A142,[1]Hugst!$R$5:$W$9,MATCH(ROUNDUP((G$1)/10,0)*10,[1]Hugst!$R$4:$W$4,0))))</f>
        <v>372.18438371913368</v>
      </c>
      <c r="H142">
        <f ca="1">IF($C142-H$1&lt;År1,0,G141*(1-VLOOKUP($A142,[1]Hugst!$R$5:$W$9,MATCH(ROUNDUP((H$1)/10,0)*10,[1]Hugst!$R$4:$W$4,0))))</f>
        <v>372.69135903281409</v>
      </c>
      <c r="I142">
        <f ca="1">IF($C142-I$1&lt;År1,0,H141*(1-VLOOKUP($A142,[1]Hugst!$R$5:$W$9,MATCH(ROUNDUP((I$1)/10,0)*10,[1]Hugst!$R$4:$W$4,0))))</f>
        <v>373.2008819611379</v>
      </c>
      <c r="J142">
        <f ca="1">IF($C142-J$1&lt;År1,0,I141*(1-VLOOKUP($A142,[1]Hugst!$R$5:$W$9,MATCH(ROUNDUP((J$1)/10,0)*10,[1]Hugst!$R$4:$W$4,0))))</f>
        <v>373.71296530619003</v>
      </c>
      <c r="K142">
        <f ca="1">IF($C142-K$1&lt;År1,0,J141*(1-VLOOKUP($A142,[1]Hugst!$R$5:$W$9,MATCH(ROUNDUP((K$1)/10,0)*10,[1]Hugst!$R$4:$W$4,0))))</f>
        <v>374.22762193437535</v>
      </c>
      <c r="L142">
        <f ca="1">IF($C142-L$1&lt;År1,0,K141*(1-VLOOKUP($A142,[1]Hugst!$R$5:$W$9,MATCH(ROUNDUP((L$1)/10,0)*10,[1]Hugst!$R$4:$W$4,0))))</f>
        <v>596.71456174648119</v>
      </c>
      <c r="M142">
        <f ca="1">IF($C142-M$1&lt;År1,0,L141*(1-VLOOKUP($A142,[1]Hugst!$R$5:$W$9,MATCH(ROUNDUP((M$1)/10,0)*10,[1]Hugst!$R$4:$W$4,0))))</f>
        <v>597.23440379914155</v>
      </c>
      <c r="N142">
        <f ca="1">IF($C142-N$1&lt;År1,0,M141*(1-VLOOKUP($A142,[1]Hugst!$R$5:$W$9,MATCH(ROUNDUP((N$1)/10,0)*10,[1]Hugst!$R$4:$W$4,0))))</f>
        <v>597.75685812343352</v>
      </c>
      <c r="O142">
        <f ca="1">IF($C142-O$1&lt;År1,0,N141*(1-VLOOKUP($A142,[1]Hugst!$R$5:$W$9,MATCH(ROUNDUP((O$1)/10,0)*10,[1]Hugst!$R$4:$W$4,0))))</f>
        <v>598.28193784633402</v>
      </c>
      <c r="P142">
        <f ca="1">IF($C142-P$1&lt;År1,0,O141*(1-VLOOKUP($A142,[1]Hugst!$R$5:$W$9,MATCH(ROUNDUP((P$1)/10,0)*10,[1]Hugst!$R$4:$W$4,0))))</f>
        <v>598.80965616080709</v>
      </c>
      <c r="Q142">
        <f ca="1">IF($C142-Q$1&lt;År1,0,P141*(1-VLOOKUP($A142,[1]Hugst!$R$5:$W$9,MATCH(ROUNDUP((Q$1)/10,0)*10,[1]Hugst!$R$4:$W$4,0))))</f>
        <v>599.34002632610714</v>
      </c>
      <c r="R142">
        <f ca="1">IF($C142-R$1&lt;År1,0,Q141*(1-VLOOKUP($A142,[1]Hugst!$R$5:$W$9,MATCH(ROUNDUP((R$1)/10,0)*10,[1]Hugst!$R$4:$W$4,0))))</f>
        <v>599.87306166811823</v>
      </c>
      <c r="S142">
        <f ca="1">IF($C142-S$1&lt;År1,0,R141*(1-VLOOKUP($A142,[1]Hugst!$R$5:$W$9,MATCH(ROUNDUP((S$1)/10,0)*10,[1]Hugst!$R$4:$W$4,0))))</f>
        <v>600.40877557968702</v>
      </c>
      <c r="T142">
        <f ca="1">IF($C142-T$1&lt;År1,0,S141*(1-VLOOKUP($A142,[1]Hugst!$R$5:$W$9,MATCH(ROUNDUP((T$1)/10,0)*10,[1]Hugst!$R$4:$W$4,0))))</f>
        <v>600.94718152096243</v>
      </c>
      <c r="U142">
        <f ca="1">IF($C142-U$1&lt;År1,0,T141*(1-VLOOKUP($A142,[1]Hugst!$R$5:$W$9,MATCH(ROUNDUP((U$1)/10,0)*10,[1]Hugst!$R$4:$W$4,0))))</f>
        <v>601.48829301972796</v>
      </c>
      <c r="V142">
        <f ca="1">IF($C142-V$1&lt;År1,0,U141*(1-VLOOKUP($A142,[1]Hugst!$R$5:$W$9,MATCH(ROUNDUP((V$1)/10,0)*10,[1]Hugst!$R$4:$W$4,0))))</f>
        <v>602.03212367175934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55000000000000004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371.17802504708953</v>
      </c>
      <c r="G143">
        <f ca="1">IF($C143-G$1&lt;År1,0,F142*(1-VLOOKUP($A143,[1]Hugst!$R$5:$W$9,MATCH(ROUNDUP((G$1)/10,0)*10,[1]Hugst!$R$4:$W$4,0))))</f>
        <v>371.679943282019</v>
      </c>
      <c r="H143">
        <f ca="1">IF($C143-H$1&lt;År1,0,G142*(1-VLOOKUP($A143,[1]Hugst!$R$5:$W$9,MATCH(ROUNDUP((H$1)/10,0)*10,[1]Hugst!$R$4:$W$4,0))))</f>
        <v>372.18438371913368</v>
      </c>
      <c r="I143">
        <f ca="1">IF($C143-I$1&lt;År1,0,H142*(1-VLOOKUP($A143,[1]Hugst!$R$5:$W$9,MATCH(ROUNDUP((I$1)/10,0)*10,[1]Hugst!$R$4:$W$4,0))))</f>
        <v>372.69135903281409</v>
      </c>
      <c r="J143">
        <f ca="1">IF($C143-J$1&lt;År1,0,I142*(1-VLOOKUP($A143,[1]Hugst!$R$5:$W$9,MATCH(ROUNDUP((J$1)/10,0)*10,[1]Hugst!$R$4:$W$4,0))))</f>
        <v>373.2008819611379</v>
      </c>
      <c r="K143">
        <f ca="1">IF($C143-K$1&lt;År1,0,J142*(1-VLOOKUP($A143,[1]Hugst!$R$5:$W$9,MATCH(ROUNDUP((K$1)/10,0)*10,[1]Hugst!$R$4:$W$4,0))))</f>
        <v>373.71296530619003</v>
      </c>
      <c r="L143">
        <f ca="1">IF($C143-L$1&lt;År1,0,K142*(1-VLOOKUP($A143,[1]Hugst!$R$5:$W$9,MATCH(ROUNDUP((L$1)/10,0)*10,[1]Hugst!$R$4:$W$4,0))))</f>
        <v>374.22762193437535</v>
      </c>
      <c r="M143">
        <f ca="1">IF($C143-M$1&lt;År1,0,L142*(1-VLOOKUP($A143,[1]Hugst!$R$5:$W$9,MATCH(ROUNDUP((M$1)/10,0)*10,[1]Hugst!$R$4:$W$4,0))))</f>
        <v>596.71456174648119</v>
      </c>
      <c r="N143">
        <f ca="1">IF($C143-N$1&lt;År1,0,M142*(1-VLOOKUP($A143,[1]Hugst!$R$5:$W$9,MATCH(ROUNDUP((N$1)/10,0)*10,[1]Hugst!$R$4:$W$4,0))))</f>
        <v>597.23440379914155</v>
      </c>
      <c r="O143">
        <f ca="1">IF($C143-O$1&lt;År1,0,N142*(1-VLOOKUP($A143,[1]Hugst!$R$5:$W$9,MATCH(ROUNDUP((O$1)/10,0)*10,[1]Hugst!$R$4:$W$4,0))))</f>
        <v>597.75685812343352</v>
      </c>
      <c r="P143">
        <f ca="1">IF($C143-P$1&lt;År1,0,O142*(1-VLOOKUP($A143,[1]Hugst!$R$5:$W$9,MATCH(ROUNDUP((P$1)/10,0)*10,[1]Hugst!$R$4:$W$4,0))))</f>
        <v>598.28193784633402</v>
      </c>
      <c r="Q143">
        <f ca="1">IF($C143-Q$1&lt;År1,0,P142*(1-VLOOKUP($A143,[1]Hugst!$R$5:$W$9,MATCH(ROUNDUP((Q$1)/10,0)*10,[1]Hugst!$R$4:$W$4,0))))</f>
        <v>598.80965616080709</v>
      </c>
      <c r="R143">
        <f ca="1">IF($C143-R$1&lt;År1,0,Q142*(1-VLOOKUP($A143,[1]Hugst!$R$5:$W$9,MATCH(ROUNDUP((R$1)/10,0)*10,[1]Hugst!$R$4:$W$4,0))))</f>
        <v>599.34002632610714</v>
      </c>
      <c r="S143">
        <f ca="1">IF($C143-S$1&lt;År1,0,R142*(1-VLOOKUP($A143,[1]Hugst!$R$5:$W$9,MATCH(ROUNDUP((S$1)/10,0)*10,[1]Hugst!$R$4:$W$4,0))))</f>
        <v>599.87306166811823</v>
      </c>
      <c r="T143">
        <f ca="1">IF($C143-T$1&lt;År1,0,S142*(1-VLOOKUP($A143,[1]Hugst!$R$5:$W$9,MATCH(ROUNDUP((T$1)/10,0)*10,[1]Hugst!$R$4:$W$4,0))))</f>
        <v>600.40877557968702</v>
      </c>
      <c r="U143">
        <f ca="1">IF($C143-U$1&lt;År1,0,T142*(1-VLOOKUP($A143,[1]Hugst!$R$5:$W$9,MATCH(ROUNDUP((U$1)/10,0)*10,[1]Hugst!$R$4:$W$4,0))))</f>
        <v>600.94718152096243</v>
      </c>
      <c r="V143">
        <f ca="1">IF($C143-V$1&lt;År1,0,U142*(1-VLOOKUP($A143,[1]Hugst!$R$5:$W$9,MATCH(ROUNDUP((V$1)/10,0)*10,[1]Hugst!$R$4:$W$4,0))))</f>
        <v>601.48829301972796</v>
      </c>
      <c r="W143">
        <f ca="1">IF($C143-W$1&lt;År1,0,V142*(1-VLOOKUP($A143,[1]Hugst!$R$5:$W$9,MATCH(ROUNDUP((W$1)/10,0)*10,[1]Hugst!$R$4:$W$4,0))))</f>
        <v>602.03212367175934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55000000000000004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370.67861640333882</v>
      </c>
      <c r="G144">
        <f ca="1">IF($C144-G$1&lt;År1,0,F143*(1-VLOOKUP($A144,[1]Hugst!$R$5:$W$9,MATCH(ROUNDUP((G$1)/10,0)*10,[1]Hugst!$R$4:$W$4,0))))</f>
        <v>371.17802504708953</v>
      </c>
      <c r="H144">
        <f ca="1">IF($C144-H$1&lt;År1,0,G143*(1-VLOOKUP($A144,[1]Hugst!$R$5:$W$9,MATCH(ROUNDUP((H$1)/10,0)*10,[1]Hugst!$R$4:$W$4,0))))</f>
        <v>371.679943282019</v>
      </c>
      <c r="I144">
        <f ca="1">IF($C144-I$1&lt;År1,0,H143*(1-VLOOKUP($A144,[1]Hugst!$R$5:$W$9,MATCH(ROUNDUP((I$1)/10,0)*10,[1]Hugst!$R$4:$W$4,0))))</f>
        <v>372.18438371913368</v>
      </c>
      <c r="J144">
        <f ca="1">IF($C144-J$1&lt;År1,0,I143*(1-VLOOKUP($A144,[1]Hugst!$R$5:$W$9,MATCH(ROUNDUP((J$1)/10,0)*10,[1]Hugst!$R$4:$W$4,0))))</f>
        <v>372.69135903281409</v>
      </c>
      <c r="K144">
        <f ca="1">IF($C144-K$1&lt;År1,0,J143*(1-VLOOKUP($A144,[1]Hugst!$R$5:$W$9,MATCH(ROUNDUP((K$1)/10,0)*10,[1]Hugst!$R$4:$W$4,0))))</f>
        <v>373.2008819611379</v>
      </c>
      <c r="L144">
        <f ca="1">IF($C144-L$1&lt;År1,0,K143*(1-VLOOKUP($A144,[1]Hugst!$R$5:$W$9,MATCH(ROUNDUP((L$1)/10,0)*10,[1]Hugst!$R$4:$W$4,0))))</f>
        <v>373.71296530619003</v>
      </c>
      <c r="M144">
        <f ca="1">IF($C144-M$1&lt;År1,0,L143*(1-VLOOKUP($A144,[1]Hugst!$R$5:$W$9,MATCH(ROUNDUP((M$1)/10,0)*10,[1]Hugst!$R$4:$W$4,0))))</f>
        <v>374.22762193437535</v>
      </c>
      <c r="N144">
        <f ca="1">IF($C144-N$1&lt;År1,0,M143*(1-VLOOKUP($A144,[1]Hugst!$R$5:$W$9,MATCH(ROUNDUP((N$1)/10,0)*10,[1]Hugst!$R$4:$W$4,0))))</f>
        <v>596.71456174648119</v>
      </c>
      <c r="O144">
        <f ca="1">IF($C144-O$1&lt;År1,0,N143*(1-VLOOKUP($A144,[1]Hugst!$R$5:$W$9,MATCH(ROUNDUP((O$1)/10,0)*10,[1]Hugst!$R$4:$W$4,0))))</f>
        <v>597.23440379914155</v>
      </c>
      <c r="P144">
        <f ca="1">IF($C144-P$1&lt;År1,0,O143*(1-VLOOKUP($A144,[1]Hugst!$R$5:$W$9,MATCH(ROUNDUP((P$1)/10,0)*10,[1]Hugst!$R$4:$W$4,0))))</f>
        <v>597.75685812343352</v>
      </c>
      <c r="Q144">
        <f ca="1">IF($C144-Q$1&lt;År1,0,P143*(1-VLOOKUP($A144,[1]Hugst!$R$5:$W$9,MATCH(ROUNDUP((Q$1)/10,0)*10,[1]Hugst!$R$4:$W$4,0))))</f>
        <v>598.28193784633402</v>
      </c>
      <c r="R144">
        <f ca="1">IF($C144-R$1&lt;År1,0,Q143*(1-VLOOKUP($A144,[1]Hugst!$R$5:$W$9,MATCH(ROUNDUP((R$1)/10,0)*10,[1]Hugst!$R$4:$W$4,0))))</f>
        <v>598.80965616080709</v>
      </c>
      <c r="S144">
        <f ca="1">IF($C144-S$1&lt;År1,0,R143*(1-VLOOKUP($A144,[1]Hugst!$R$5:$W$9,MATCH(ROUNDUP((S$1)/10,0)*10,[1]Hugst!$R$4:$W$4,0))))</f>
        <v>599.34002632610714</v>
      </c>
      <c r="T144">
        <f ca="1">IF($C144-T$1&lt;År1,0,S143*(1-VLOOKUP($A144,[1]Hugst!$R$5:$W$9,MATCH(ROUNDUP((T$1)/10,0)*10,[1]Hugst!$R$4:$W$4,0))))</f>
        <v>599.87306166811823</v>
      </c>
      <c r="U144">
        <f ca="1">IF($C144-U$1&lt;År1,0,T143*(1-VLOOKUP($A144,[1]Hugst!$R$5:$W$9,MATCH(ROUNDUP((U$1)/10,0)*10,[1]Hugst!$R$4:$W$4,0))))</f>
        <v>600.40877557968702</v>
      </c>
      <c r="V144">
        <f ca="1">IF($C144-V$1&lt;År1,0,U143*(1-VLOOKUP($A144,[1]Hugst!$R$5:$W$9,MATCH(ROUNDUP((V$1)/10,0)*10,[1]Hugst!$R$4:$W$4,0))))</f>
        <v>600.94718152096243</v>
      </c>
      <c r="W144">
        <f ca="1">IF($C144-W$1&lt;År1,0,V143*(1-VLOOKUP($A144,[1]Hugst!$R$5:$W$9,MATCH(ROUNDUP((W$1)/10,0)*10,[1]Hugst!$R$4:$W$4,0))))</f>
        <v>601.48829301972796</v>
      </c>
      <c r="X144">
        <f ca="1">IF($C144-X$1&lt;År1,0,W143*(1-VLOOKUP($A144,[1]Hugst!$R$5:$W$9,MATCH(ROUNDUP((X$1)/10,0)*10,[1]Hugst!$R$4:$W$4,0))))</f>
        <v>602.03212367175934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55000000000000004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370.18170480279792</v>
      </c>
      <c r="G145">
        <f ca="1">IF($C145-G$1&lt;År1,0,F144*(1-VLOOKUP($A145,[1]Hugst!$R$5:$W$9,MATCH(ROUNDUP((G$1)/10,0)*10,[1]Hugst!$R$4:$W$4,0))))</f>
        <v>370.67861640333882</v>
      </c>
      <c r="H145">
        <f ca="1">IF($C145-H$1&lt;År1,0,G144*(1-VLOOKUP($A145,[1]Hugst!$R$5:$W$9,MATCH(ROUNDUP((H$1)/10,0)*10,[1]Hugst!$R$4:$W$4,0))))</f>
        <v>371.17802504708953</v>
      </c>
      <c r="I145">
        <f ca="1">IF($C145-I$1&lt;År1,0,H144*(1-VLOOKUP($A145,[1]Hugst!$R$5:$W$9,MATCH(ROUNDUP((I$1)/10,0)*10,[1]Hugst!$R$4:$W$4,0))))</f>
        <v>371.679943282019</v>
      </c>
      <c r="J145">
        <f ca="1">IF($C145-J$1&lt;År1,0,I144*(1-VLOOKUP($A145,[1]Hugst!$R$5:$W$9,MATCH(ROUNDUP((J$1)/10,0)*10,[1]Hugst!$R$4:$W$4,0))))</f>
        <v>372.18438371913368</v>
      </c>
      <c r="K145">
        <f ca="1">IF($C145-K$1&lt;År1,0,J144*(1-VLOOKUP($A145,[1]Hugst!$R$5:$W$9,MATCH(ROUNDUP((K$1)/10,0)*10,[1]Hugst!$R$4:$W$4,0))))</f>
        <v>372.69135903281409</v>
      </c>
      <c r="L145">
        <f ca="1">IF($C145-L$1&lt;År1,0,K144*(1-VLOOKUP($A145,[1]Hugst!$R$5:$W$9,MATCH(ROUNDUP((L$1)/10,0)*10,[1]Hugst!$R$4:$W$4,0))))</f>
        <v>373.2008819611379</v>
      </c>
      <c r="M145">
        <f ca="1">IF($C145-M$1&lt;År1,0,L144*(1-VLOOKUP($A145,[1]Hugst!$R$5:$W$9,MATCH(ROUNDUP((M$1)/10,0)*10,[1]Hugst!$R$4:$W$4,0))))</f>
        <v>373.71296530619003</v>
      </c>
      <c r="N145">
        <f ca="1">IF($C145-N$1&lt;År1,0,M144*(1-VLOOKUP($A145,[1]Hugst!$R$5:$W$9,MATCH(ROUNDUP((N$1)/10,0)*10,[1]Hugst!$R$4:$W$4,0))))</f>
        <v>374.22762193437535</v>
      </c>
      <c r="O145">
        <f ca="1">IF($C145-O$1&lt;År1,0,N144*(1-VLOOKUP($A145,[1]Hugst!$R$5:$W$9,MATCH(ROUNDUP((O$1)/10,0)*10,[1]Hugst!$R$4:$W$4,0))))</f>
        <v>596.71456174648119</v>
      </c>
      <c r="P145">
        <f ca="1">IF($C145-P$1&lt;År1,0,O144*(1-VLOOKUP($A145,[1]Hugst!$R$5:$W$9,MATCH(ROUNDUP((P$1)/10,0)*10,[1]Hugst!$R$4:$W$4,0))))</f>
        <v>597.23440379914155</v>
      </c>
      <c r="Q145">
        <f ca="1">IF($C145-Q$1&lt;År1,0,P144*(1-VLOOKUP($A145,[1]Hugst!$R$5:$W$9,MATCH(ROUNDUP((Q$1)/10,0)*10,[1]Hugst!$R$4:$W$4,0))))</f>
        <v>597.75685812343352</v>
      </c>
      <c r="R145">
        <f ca="1">IF($C145-R$1&lt;År1,0,Q144*(1-VLOOKUP($A145,[1]Hugst!$R$5:$W$9,MATCH(ROUNDUP((R$1)/10,0)*10,[1]Hugst!$R$4:$W$4,0))))</f>
        <v>598.28193784633402</v>
      </c>
      <c r="S145">
        <f ca="1">IF($C145-S$1&lt;År1,0,R144*(1-VLOOKUP($A145,[1]Hugst!$R$5:$W$9,MATCH(ROUNDUP((S$1)/10,0)*10,[1]Hugst!$R$4:$W$4,0))))</f>
        <v>598.80965616080709</v>
      </c>
      <c r="T145">
        <f ca="1">IF($C145-T$1&lt;År1,0,S144*(1-VLOOKUP($A145,[1]Hugst!$R$5:$W$9,MATCH(ROUNDUP((T$1)/10,0)*10,[1]Hugst!$R$4:$W$4,0))))</f>
        <v>599.34002632610714</v>
      </c>
      <c r="U145">
        <f ca="1">IF($C145-U$1&lt;År1,0,T144*(1-VLOOKUP($A145,[1]Hugst!$R$5:$W$9,MATCH(ROUNDUP((U$1)/10,0)*10,[1]Hugst!$R$4:$W$4,0))))</f>
        <v>599.87306166811823</v>
      </c>
      <c r="V145">
        <f ca="1">IF($C145-V$1&lt;År1,0,U144*(1-VLOOKUP($A145,[1]Hugst!$R$5:$W$9,MATCH(ROUNDUP((V$1)/10,0)*10,[1]Hugst!$R$4:$W$4,0))))</f>
        <v>600.40877557968702</v>
      </c>
      <c r="W145">
        <f ca="1">IF($C145-W$1&lt;År1,0,V144*(1-VLOOKUP($A145,[1]Hugst!$R$5:$W$9,MATCH(ROUNDUP((W$1)/10,0)*10,[1]Hugst!$R$4:$W$4,0))))</f>
        <v>600.94718152096243</v>
      </c>
      <c r="X145">
        <f ca="1">IF($C145-X$1&lt;År1,0,W144*(1-VLOOKUP($A145,[1]Hugst!$R$5:$W$9,MATCH(ROUNDUP((X$1)/10,0)*10,[1]Hugst!$R$4:$W$4,0))))</f>
        <v>601.48829301972796</v>
      </c>
      <c r="Y145">
        <f ca="1">IF($C145-Y$1&lt;År1,0,X144*(1-VLOOKUP($A145,[1]Hugst!$R$5:$W$9,MATCH(ROUNDUP((Y$1)/10,0)*10,[1]Hugst!$R$4:$W$4,0))))</f>
        <v>602.03212367175934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55000000000000004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369.68727776026782</v>
      </c>
      <c r="G146">
        <f ca="1">IF($C146-G$1&lt;År1,0,F145*(1-VLOOKUP($A146,[1]Hugst!$R$5:$W$9,MATCH(ROUNDUP((G$1)/10,0)*10,[1]Hugst!$R$4:$W$4,0))))</f>
        <v>370.18170480279792</v>
      </c>
      <c r="H146">
        <f ca="1">IF($C146-H$1&lt;År1,0,G145*(1-VLOOKUP($A146,[1]Hugst!$R$5:$W$9,MATCH(ROUNDUP((H$1)/10,0)*10,[1]Hugst!$R$4:$W$4,0))))</f>
        <v>370.67861640333882</v>
      </c>
      <c r="I146">
        <f ca="1">IF($C146-I$1&lt;År1,0,H145*(1-VLOOKUP($A146,[1]Hugst!$R$5:$W$9,MATCH(ROUNDUP((I$1)/10,0)*10,[1]Hugst!$R$4:$W$4,0))))</f>
        <v>371.17802504708953</v>
      </c>
      <c r="J146">
        <f ca="1">IF($C146-J$1&lt;År1,0,I145*(1-VLOOKUP($A146,[1]Hugst!$R$5:$W$9,MATCH(ROUNDUP((J$1)/10,0)*10,[1]Hugst!$R$4:$W$4,0))))</f>
        <v>371.679943282019</v>
      </c>
      <c r="K146">
        <f ca="1">IF($C146-K$1&lt;År1,0,J145*(1-VLOOKUP($A146,[1]Hugst!$R$5:$W$9,MATCH(ROUNDUP((K$1)/10,0)*10,[1]Hugst!$R$4:$W$4,0))))</f>
        <v>372.18438371913368</v>
      </c>
      <c r="L146">
        <f ca="1">IF($C146-L$1&lt;År1,0,K145*(1-VLOOKUP($A146,[1]Hugst!$R$5:$W$9,MATCH(ROUNDUP((L$1)/10,0)*10,[1]Hugst!$R$4:$W$4,0))))</f>
        <v>372.69135903281409</v>
      </c>
      <c r="M146">
        <f ca="1">IF($C146-M$1&lt;År1,0,L145*(1-VLOOKUP($A146,[1]Hugst!$R$5:$W$9,MATCH(ROUNDUP((M$1)/10,0)*10,[1]Hugst!$R$4:$W$4,0))))</f>
        <v>373.2008819611379</v>
      </c>
      <c r="N146">
        <f ca="1">IF($C146-N$1&lt;År1,0,M145*(1-VLOOKUP($A146,[1]Hugst!$R$5:$W$9,MATCH(ROUNDUP((N$1)/10,0)*10,[1]Hugst!$R$4:$W$4,0))))</f>
        <v>373.71296530619003</v>
      </c>
      <c r="O146">
        <f ca="1">IF($C146-O$1&lt;År1,0,N145*(1-VLOOKUP($A146,[1]Hugst!$R$5:$W$9,MATCH(ROUNDUP((O$1)/10,0)*10,[1]Hugst!$R$4:$W$4,0))))</f>
        <v>374.22762193437535</v>
      </c>
      <c r="P146">
        <f ca="1">IF($C146-P$1&lt;År1,0,O145*(1-VLOOKUP($A146,[1]Hugst!$R$5:$W$9,MATCH(ROUNDUP((P$1)/10,0)*10,[1]Hugst!$R$4:$W$4,0))))</f>
        <v>596.71456174648119</v>
      </c>
      <c r="Q146">
        <f ca="1">IF($C146-Q$1&lt;År1,0,P145*(1-VLOOKUP($A146,[1]Hugst!$R$5:$W$9,MATCH(ROUNDUP((Q$1)/10,0)*10,[1]Hugst!$R$4:$W$4,0))))</f>
        <v>597.23440379914155</v>
      </c>
      <c r="R146">
        <f ca="1">IF($C146-R$1&lt;År1,0,Q145*(1-VLOOKUP($A146,[1]Hugst!$R$5:$W$9,MATCH(ROUNDUP((R$1)/10,0)*10,[1]Hugst!$R$4:$W$4,0))))</f>
        <v>597.75685812343352</v>
      </c>
      <c r="S146">
        <f ca="1">IF($C146-S$1&lt;År1,0,R145*(1-VLOOKUP($A146,[1]Hugst!$R$5:$W$9,MATCH(ROUNDUP((S$1)/10,0)*10,[1]Hugst!$R$4:$W$4,0))))</f>
        <v>598.28193784633402</v>
      </c>
      <c r="T146">
        <f ca="1">IF($C146-T$1&lt;År1,0,S145*(1-VLOOKUP($A146,[1]Hugst!$R$5:$W$9,MATCH(ROUNDUP((T$1)/10,0)*10,[1]Hugst!$R$4:$W$4,0))))</f>
        <v>598.80965616080709</v>
      </c>
      <c r="U146">
        <f ca="1">IF($C146-U$1&lt;År1,0,T145*(1-VLOOKUP($A146,[1]Hugst!$R$5:$W$9,MATCH(ROUNDUP((U$1)/10,0)*10,[1]Hugst!$R$4:$W$4,0))))</f>
        <v>599.34002632610714</v>
      </c>
      <c r="V146">
        <f ca="1">IF($C146-V$1&lt;År1,0,U145*(1-VLOOKUP($A146,[1]Hugst!$R$5:$W$9,MATCH(ROUNDUP((V$1)/10,0)*10,[1]Hugst!$R$4:$W$4,0))))</f>
        <v>599.87306166811823</v>
      </c>
      <c r="W146">
        <f ca="1">IF($C146-W$1&lt;År1,0,V145*(1-VLOOKUP($A146,[1]Hugst!$R$5:$W$9,MATCH(ROUNDUP((W$1)/10,0)*10,[1]Hugst!$R$4:$W$4,0))))</f>
        <v>600.40877557968702</v>
      </c>
      <c r="X146">
        <f ca="1">IF($C146-X$1&lt;År1,0,W145*(1-VLOOKUP($A146,[1]Hugst!$R$5:$W$9,MATCH(ROUNDUP((X$1)/10,0)*10,[1]Hugst!$R$4:$W$4,0))))</f>
        <v>600.94718152096243</v>
      </c>
      <c r="Y146">
        <f ca="1">IF($C146-Y$1&lt;År1,0,X145*(1-VLOOKUP($A146,[1]Hugst!$R$5:$W$9,MATCH(ROUNDUP((Y$1)/10,0)*10,[1]Hugst!$R$4:$W$4,0))))</f>
        <v>601.48829301972796</v>
      </c>
      <c r="Z146">
        <f ca="1">IF($C146-Z$1&lt;År1,0,Y145*(1-VLOOKUP($A146,[1]Hugst!$R$5:$W$9,MATCH(ROUNDUP((Z$1)/10,0)*10,[1]Hugst!$R$4:$W$4,0))))</f>
        <v>602.03212367175934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55000000000000004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369.19532285294991</v>
      </c>
      <c r="G147">
        <f ca="1">IF($C147-G$1&lt;År1,0,F146*(1-VLOOKUP($A147,[1]Hugst!$R$5:$W$9,MATCH(ROUNDUP((G$1)/10,0)*10,[1]Hugst!$R$4:$W$4,0))))</f>
        <v>369.68727776026782</v>
      </c>
      <c r="H147">
        <f ca="1">IF($C147-H$1&lt;År1,0,G146*(1-VLOOKUP($A147,[1]Hugst!$R$5:$W$9,MATCH(ROUNDUP((H$1)/10,0)*10,[1]Hugst!$R$4:$W$4,0))))</f>
        <v>370.18170480279792</v>
      </c>
      <c r="I147">
        <f ca="1">IF($C147-I$1&lt;År1,0,H146*(1-VLOOKUP($A147,[1]Hugst!$R$5:$W$9,MATCH(ROUNDUP((I$1)/10,0)*10,[1]Hugst!$R$4:$W$4,0))))</f>
        <v>370.67861640333882</v>
      </c>
      <c r="J147">
        <f ca="1">IF($C147-J$1&lt;År1,0,I146*(1-VLOOKUP($A147,[1]Hugst!$R$5:$W$9,MATCH(ROUNDUP((J$1)/10,0)*10,[1]Hugst!$R$4:$W$4,0))))</f>
        <v>371.17802504708953</v>
      </c>
      <c r="K147">
        <f ca="1">IF($C147-K$1&lt;År1,0,J146*(1-VLOOKUP($A147,[1]Hugst!$R$5:$W$9,MATCH(ROUNDUP((K$1)/10,0)*10,[1]Hugst!$R$4:$W$4,0))))</f>
        <v>371.679943282019</v>
      </c>
      <c r="L147">
        <f ca="1">IF($C147-L$1&lt;År1,0,K146*(1-VLOOKUP($A147,[1]Hugst!$R$5:$W$9,MATCH(ROUNDUP((L$1)/10,0)*10,[1]Hugst!$R$4:$W$4,0))))</f>
        <v>372.18438371913368</v>
      </c>
      <c r="M147">
        <f ca="1">IF($C147-M$1&lt;År1,0,L146*(1-VLOOKUP($A147,[1]Hugst!$R$5:$W$9,MATCH(ROUNDUP((M$1)/10,0)*10,[1]Hugst!$R$4:$W$4,0))))</f>
        <v>372.69135903281409</v>
      </c>
      <c r="N147">
        <f ca="1">IF($C147-N$1&lt;År1,0,M146*(1-VLOOKUP($A147,[1]Hugst!$R$5:$W$9,MATCH(ROUNDUP((N$1)/10,0)*10,[1]Hugst!$R$4:$W$4,0))))</f>
        <v>373.2008819611379</v>
      </c>
      <c r="O147">
        <f ca="1">IF($C147-O$1&lt;År1,0,N146*(1-VLOOKUP($A147,[1]Hugst!$R$5:$W$9,MATCH(ROUNDUP((O$1)/10,0)*10,[1]Hugst!$R$4:$W$4,0))))</f>
        <v>373.71296530619003</v>
      </c>
      <c r="P147">
        <f ca="1">IF($C147-P$1&lt;År1,0,O146*(1-VLOOKUP($A147,[1]Hugst!$R$5:$W$9,MATCH(ROUNDUP((P$1)/10,0)*10,[1]Hugst!$R$4:$W$4,0))))</f>
        <v>374.22762193437535</v>
      </c>
      <c r="Q147">
        <f ca="1">IF($C147-Q$1&lt;År1,0,P146*(1-VLOOKUP($A147,[1]Hugst!$R$5:$W$9,MATCH(ROUNDUP((Q$1)/10,0)*10,[1]Hugst!$R$4:$W$4,0))))</f>
        <v>596.71456174648119</v>
      </c>
      <c r="R147">
        <f ca="1">IF($C147-R$1&lt;År1,0,Q146*(1-VLOOKUP($A147,[1]Hugst!$R$5:$W$9,MATCH(ROUNDUP((R$1)/10,0)*10,[1]Hugst!$R$4:$W$4,0))))</f>
        <v>597.23440379914155</v>
      </c>
      <c r="S147">
        <f ca="1">IF($C147-S$1&lt;År1,0,R146*(1-VLOOKUP($A147,[1]Hugst!$R$5:$W$9,MATCH(ROUNDUP((S$1)/10,0)*10,[1]Hugst!$R$4:$W$4,0))))</f>
        <v>597.75685812343352</v>
      </c>
      <c r="T147">
        <f ca="1">IF($C147-T$1&lt;År1,0,S146*(1-VLOOKUP($A147,[1]Hugst!$R$5:$W$9,MATCH(ROUNDUP((T$1)/10,0)*10,[1]Hugst!$R$4:$W$4,0))))</f>
        <v>598.28193784633402</v>
      </c>
      <c r="U147">
        <f ca="1">IF($C147-U$1&lt;År1,0,T146*(1-VLOOKUP($A147,[1]Hugst!$R$5:$W$9,MATCH(ROUNDUP((U$1)/10,0)*10,[1]Hugst!$R$4:$W$4,0))))</f>
        <v>598.80965616080709</v>
      </c>
      <c r="V147">
        <f ca="1">IF($C147-V$1&lt;År1,0,U146*(1-VLOOKUP($A147,[1]Hugst!$R$5:$W$9,MATCH(ROUNDUP((V$1)/10,0)*10,[1]Hugst!$R$4:$W$4,0))))</f>
        <v>599.34002632610714</v>
      </c>
      <c r="W147">
        <f ca="1">IF($C147-W$1&lt;År1,0,V146*(1-VLOOKUP($A147,[1]Hugst!$R$5:$W$9,MATCH(ROUNDUP((W$1)/10,0)*10,[1]Hugst!$R$4:$W$4,0))))</f>
        <v>599.87306166811823</v>
      </c>
      <c r="X147">
        <f ca="1">IF($C147-X$1&lt;År1,0,W146*(1-VLOOKUP($A147,[1]Hugst!$R$5:$W$9,MATCH(ROUNDUP((X$1)/10,0)*10,[1]Hugst!$R$4:$W$4,0))))</f>
        <v>600.40877557968702</v>
      </c>
      <c r="Y147">
        <f ca="1">IF($C147-Y$1&lt;År1,0,X146*(1-VLOOKUP($A147,[1]Hugst!$R$5:$W$9,MATCH(ROUNDUP((Y$1)/10,0)*10,[1]Hugst!$R$4:$W$4,0))))</f>
        <v>600.94718152096243</v>
      </c>
      <c r="Z147">
        <f ca="1">IF($C147-Z$1&lt;År1,0,Y146*(1-VLOOKUP($A147,[1]Hugst!$R$5:$W$9,MATCH(ROUNDUP((Z$1)/10,0)*10,[1]Hugst!$R$4:$W$4,0))))</f>
        <v>601.48829301972796</v>
      </c>
      <c r="AA147">
        <f ca="1">IF($C147-AA$1&lt;År1,0,Z146*(1-VLOOKUP($A147,[1]Hugst!$R$5:$W$9,MATCH(ROUNDUP((AA$1)/10,0)*10,[1]Hugst!$R$4:$W$4,0))))</f>
        <v>602.03212367175934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55000000000000004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368.70582772016525</v>
      </c>
      <c r="G148">
        <f ca="1">IF($C148-G$1&lt;År1,0,F147*(1-VLOOKUP($A148,[1]Hugst!$R$5:$W$9,MATCH(ROUNDUP((G$1)/10,0)*10,[1]Hugst!$R$4:$W$4,0))))</f>
        <v>369.19532285294991</v>
      </c>
      <c r="H148">
        <f ca="1">IF($C148-H$1&lt;År1,0,G147*(1-VLOOKUP($A148,[1]Hugst!$R$5:$W$9,MATCH(ROUNDUP((H$1)/10,0)*10,[1]Hugst!$R$4:$W$4,0))))</f>
        <v>369.68727776026782</v>
      </c>
      <c r="I148">
        <f ca="1">IF($C148-I$1&lt;År1,0,H147*(1-VLOOKUP($A148,[1]Hugst!$R$5:$W$9,MATCH(ROUNDUP((I$1)/10,0)*10,[1]Hugst!$R$4:$W$4,0))))</f>
        <v>370.18170480279792</v>
      </c>
      <c r="J148">
        <f ca="1">IF($C148-J$1&lt;År1,0,I147*(1-VLOOKUP($A148,[1]Hugst!$R$5:$W$9,MATCH(ROUNDUP((J$1)/10,0)*10,[1]Hugst!$R$4:$W$4,0))))</f>
        <v>370.67861640333882</v>
      </c>
      <c r="K148">
        <f ca="1">IF($C148-K$1&lt;År1,0,J147*(1-VLOOKUP($A148,[1]Hugst!$R$5:$W$9,MATCH(ROUNDUP((K$1)/10,0)*10,[1]Hugst!$R$4:$W$4,0))))</f>
        <v>371.17802504708953</v>
      </c>
      <c r="L148">
        <f ca="1">IF($C148-L$1&lt;År1,0,K147*(1-VLOOKUP($A148,[1]Hugst!$R$5:$W$9,MATCH(ROUNDUP((L$1)/10,0)*10,[1]Hugst!$R$4:$W$4,0))))</f>
        <v>371.679943282019</v>
      </c>
      <c r="M148">
        <f ca="1">IF($C148-M$1&lt;År1,0,L147*(1-VLOOKUP($A148,[1]Hugst!$R$5:$W$9,MATCH(ROUNDUP((M$1)/10,0)*10,[1]Hugst!$R$4:$W$4,0))))</f>
        <v>372.18438371913368</v>
      </c>
      <c r="N148">
        <f ca="1">IF($C148-N$1&lt;År1,0,M147*(1-VLOOKUP($A148,[1]Hugst!$R$5:$W$9,MATCH(ROUNDUP((N$1)/10,0)*10,[1]Hugst!$R$4:$W$4,0))))</f>
        <v>372.69135903281409</v>
      </c>
      <c r="O148">
        <f ca="1">IF($C148-O$1&lt;År1,0,N147*(1-VLOOKUP($A148,[1]Hugst!$R$5:$W$9,MATCH(ROUNDUP((O$1)/10,0)*10,[1]Hugst!$R$4:$W$4,0))))</f>
        <v>373.2008819611379</v>
      </c>
      <c r="P148">
        <f ca="1">IF($C148-P$1&lt;År1,0,O147*(1-VLOOKUP($A148,[1]Hugst!$R$5:$W$9,MATCH(ROUNDUP((P$1)/10,0)*10,[1]Hugst!$R$4:$W$4,0))))</f>
        <v>373.71296530619003</v>
      </c>
      <c r="Q148">
        <f ca="1">IF($C148-Q$1&lt;År1,0,P147*(1-VLOOKUP($A148,[1]Hugst!$R$5:$W$9,MATCH(ROUNDUP((Q$1)/10,0)*10,[1]Hugst!$R$4:$W$4,0))))</f>
        <v>374.22762193437535</v>
      </c>
      <c r="R148">
        <f ca="1">IF($C148-R$1&lt;År1,0,Q147*(1-VLOOKUP($A148,[1]Hugst!$R$5:$W$9,MATCH(ROUNDUP((R$1)/10,0)*10,[1]Hugst!$R$4:$W$4,0))))</f>
        <v>596.71456174648119</v>
      </c>
      <c r="S148">
        <f ca="1">IF($C148-S$1&lt;År1,0,R147*(1-VLOOKUP($A148,[1]Hugst!$R$5:$W$9,MATCH(ROUNDUP((S$1)/10,0)*10,[1]Hugst!$R$4:$W$4,0))))</f>
        <v>597.23440379914155</v>
      </c>
      <c r="T148">
        <f ca="1">IF($C148-T$1&lt;År1,0,S147*(1-VLOOKUP($A148,[1]Hugst!$R$5:$W$9,MATCH(ROUNDUP((T$1)/10,0)*10,[1]Hugst!$R$4:$W$4,0))))</f>
        <v>597.75685812343352</v>
      </c>
      <c r="U148">
        <f ca="1">IF($C148-U$1&lt;År1,0,T147*(1-VLOOKUP($A148,[1]Hugst!$R$5:$W$9,MATCH(ROUNDUP((U$1)/10,0)*10,[1]Hugst!$R$4:$W$4,0))))</f>
        <v>598.28193784633402</v>
      </c>
      <c r="V148">
        <f ca="1">IF($C148-V$1&lt;År1,0,U147*(1-VLOOKUP($A148,[1]Hugst!$R$5:$W$9,MATCH(ROUNDUP((V$1)/10,0)*10,[1]Hugst!$R$4:$W$4,0))))</f>
        <v>598.80965616080709</v>
      </c>
      <c r="W148">
        <f ca="1">IF($C148-W$1&lt;År1,0,V147*(1-VLOOKUP($A148,[1]Hugst!$R$5:$W$9,MATCH(ROUNDUP((W$1)/10,0)*10,[1]Hugst!$R$4:$W$4,0))))</f>
        <v>599.34002632610714</v>
      </c>
      <c r="X148">
        <f ca="1">IF($C148-X$1&lt;År1,0,W147*(1-VLOOKUP($A148,[1]Hugst!$R$5:$W$9,MATCH(ROUNDUP((X$1)/10,0)*10,[1]Hugst!$R$4:$W$4,0))))</f>
        <v>599.87306166811823</v>
      </c>
      <c r="Y148">
        <f ca="1">IF($C148-Y$1&lt;År1,0,X147*(1-VLOOKUP($A148,[1]Hugst!$R$5:$W$9,MATCH(ROUNDUP((Y$1)/10,0)*10,[1]Hugst!$R$4:$W$4,0))))</f>
        <v>600.40877557968702</v>
      </c>
      <c r="Z148">
        <f ca="1">IF($C148-Z$1&lt;År1,0,Y147*(1-VLOOKUP($A148,[1]Hugst!$R$5:$W$9,MATCH(ROUNDUP((Z$1)/10,0)*10,[1]Hugst!$R$4:$W$4,0))))</f>
        <v>600.94718152096243</v>
      </c>
      <c r="AA148">
        <f ca="1">IF($C148-AA$1&lt;År1,0,Z147*(1-VLOOKUP($A148,[1]Hugst!$R$5:$W$9,MATCH(ROUNDUP((AA$1)/10,0)*10,[1]Hugst!$R$4:$W$4,0))))</f>
        <v>601.48829301972796</v>
      </c>
      <c r="AB148">
        <f ca="1">IF($C148-AB$1&lt;År1,0,AA147*(1-VLOOKUP($A148,[1]Hugst!$R$5:$W$9,MATCH(ROUNDUP((AB$1)/10,0)*10,[1]Hugst!$R$4:$W$4,0))))</f>
        <v>602.03212367175934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55000000000000004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368.21878006304479</v>
      </c>
      <c r="G149">
        <f ca="1">IF($C149-G$1&lt;År1,0,F148*(1-VLOOKUP($A149,[1]Hugst!$R$5:$W$9,MATCH(ROUNDUP((G$1)/10,0)*10,[1]Hugst!$R$4:$W$4,0))))</f>
        <v>368.70582772016525</v>
      </c>
      <c r="H149">
        <f ca="1">IF($C149-H$1&lt;År1,0,G148*(1-VLOOKUP($A149,[1]Hugst!$R$5:$W$9,MATCH(ROUNDUP((H$1)/10,0)*10,[1]Hugst!$R$4:$W$4,0))))</f>
        <v>369.19532285294991</v>
      </c>
      <c r="I149">
        <f ca="1">IF($C149-I$1&lt;År1,0,H148*(1-VLOOKUP($A149,[1]Hugst!$R$5:$W$9,MATCH(ROUNDUP((I$1)/10,0)*10,[1]Hugst!$R$4:$W$4,0))))</f>
        <v>369.68727776026782</v>
      </c>
      <c r="J149">
        <f ca="1">IF($C149-J$1&lt;År1,0,I148*(1-VLOOKUP($A149,[1]Hugst!$R$5:$W$9,MATCH(ROUNDUP((J$1)/10,0)*10,[1]Hugst!$R$4:$W$4,0))))</f>
        <v>370.18170480279792</v>
      </c>
      <c r="K149">
        <f ca="1">IF($C149-K$1&lt;År1,0,J148*(1-VLOOKUP($A149,[1]Hugst!$R$5:$W$9,MATCH(ROUNDUP((K$1)/10,0)*10,[1]Hugst!$R$4:$W$4,0))))</f>
        <v>370.67861640333882</v>
      </c>
      <c r="L149">
        <f ca="1">IF($C149-L$1&lt;År1,0,K148*(1-VLOOKUP($A149,[1]Hugst!$R$5:$W$9,MATCH(ROUNDUP((L$1)/10,0)*10,[1]Hugst!$R$4:$W$4,0))))</f>
        <v>371.17802504708953</v>
      </c>
      <c r="M149">
        <f ca="1">IF($C149-M$1&lt;År1,0,L148*(1-VLOOKUP($A149,[1]Hugst!$R$5:$W$9,MATCH(ROUNDUP((M$1)/10,0)*10,[1]Hugst!$R$4:$W$4,0))))</f>
        <v>371.679943282019</v>
      </c>
      <c r="N149">
        <f ca="1">IF($C149-N$1&lt;År1,0,M148*(1-VLOOKUP($A149,[1]Hugst!$R$5:$W$9,MATCH(ROUNDUP((N$1)/10,0)*10,[1]Hugst!$R$4:$W$4,0))))</f>
        <v>372.18438371913368</v>
      </c>
      <c r="O149">
        <f ca="1">IF($C149-O$1&lt;År1,0,N148*(1-VLOOKUP($A149,[1]Hugst!$R$5:$W$9,MATCH(ROUNDUP((O$1)/10,0)*10,[1]Hugst!$R$4:$W$4,0))))</f>
        <v>372.69135903281409</v>
      </c>
      <c r="P149">
        <f ca="1">IF($C149-P$1&lt;År1,0,O148*(1-VLOOKUP($A149,[1]Hugst!$R$5:$W$9,MATCH(ROUNDUP((P$1)/10,0)*10,[1]Hugst!$R$4:$W$4,0))))</f>
        <v>373.2008819611379</v>
      </c>
      <c r="Q149">
        <f ca="1">IF($C149-Q$1&lt;År1,0,P148*(1-VLOOKUP($A149,[1]Hugst!$R$5:$W$9,MATCH(ROUNDUP((Q$1)/10,0)*10,[1]Hugst!$R$4:$W$4,0))))</f>
        <v>373.71296530619003</v>
      </c>
      <c r="R149">
        <f ca="1">IF($C149-R$1&lt;År1,0,Q148*(1-VLOOKUP($A149,[1]Hugst!$R$5:$W$9,MATCH(ROUNDUP((R$1)/10,0)*10,[1]Hugst!$R$4:$W$4,0))))</f>
        <v>374.22762193437535</v>
      </c>
      <c r="S149">
        <f ca="1">IF($C149-S$1&lt;År1,0,R148*(1-VLOOKUP($A149,[1]Hugst!$R$5:$W$9,MATCH(ROUNDUP((S$1)/10,0)*10,[1]Hugst!$R$4:$W$4,0))))</f>
        <v>596.71456174648119</v>
      </c>
      <c r="T149">
        <f ca="1">IF($C149-T$1&lt;År1,0,S148*(1-VLOOKUP($A149,[1]Hugst!$R$5:$W$9,MATCH(ROUNDUP((T$1)/10,0)*10,[1]Hugst!$R$4:$W$4,0))))</f>
        <v>597.23440379914155</v>
      </c>
      <c r="U149">
        <f ca="1">IF($C149-U$1&lt;År1,0,T148*(1-VLOOKUP($A149,[1]Hugst!$R$5:$W$9,MATCH(ROUNDUP((U$1)/10,0)*10,[1]Hugst!$R$4:$W$4,0))))</f>
        <v>597.75685812343352</v>
      </c>
      <c r="V149">
        <f ca="1">IF($C149-V$1&lt;År1,0,U148*(1-VLOOKUP($A149,[1]Hugst!$R$5:$W$9,MATCH(ROUNDUP((V$1)/10,0)*10,[1]Hugst!$R$4:$W$4,0))))</f>
        <v>598.28193784633402</v>
      </c>
      <c r="W149">
        <f ca="1">IF($C149-W$1&lt;År1,0,V148*(1-VLOOKUP($A149,[1]Hugst!$R$5:$W$9,MATCH(ROUNDUP((W$1)/10,0)*10,[1]Hugst!$R$4:$W$4,0))))</f>
        <v>598.80965616080709</v>
      </c>
      <c r="X149">
        <f ca="1">IF($C149-X$1&lt;År1,0,W148*(1-VLOOKUP($A149,[1]Hugst!$R$5:$W$9,MATCH(ROUNDUP((X$1)/10,0)*10,[1]Hugst!$R$4:$W$4,0))))</f>
        <v>599.34002632610714</v>
      </c>
      <c r="Y149">
        <f ca="1">IF($C149-Y$1&lt;År1,0,X148*(1-VLOOKUP($A149,[1]Hugst!$R$5:$W$9,MATCH(ROUNDUP((Y$1)/10,0)*10,[1]Hugst!$R$4:$W$4,0))))</f>
        <v>599.87306166811823</v>
      </c>
      <c r="Z149">
        <f ca="1">IF($C149-Z$1&lt;År1,0,Y148*(1-VLOOKUP($A149,[1]Hugst!$R$5:$W$9,MATCH(ROUNDUP((Z$1)/10,0)*10,[1]Hugst!$R$4:$W$4,0))))</f>
        <v>600.40877557968702</v>
      </c>
      <c r="AA149">
        <f ca="1">IF($C149-AA$1&lt;År1,0,Z148*(1-VLOOKUP($A149,[1]Hugst!$R$5:$W$9,MATCH(ROUNDUP((AA$1)/10,0)*10,[1]Hugst!$R$4:$W$4,0))))</f>
        <v>600.94718152096243</v>
      </c>
      <c r="AB149">
        <f ca="1">IF($C149-AB$1&lt;År1,0,AA148*(1-VLOOKUP($A149,[1]Hugst!$R$5:$W$9,MATCH(ROUNDUP((AB$1)/10,0)*10,[1]Hugst!$R$4:$W$4,0))))</f>
        <v>601.48829301972796</v>
      </c>
      <c r="AC149">
        <f ca="1">IF($C149-AC$1&lt;År1,0,AB148*(1-VLOOKUP($A149,[1]Hugst!$R$5:$W$9,MATCH(ROUNDUP((AC$1)/10,0)*10,[1]Hugst!$R$4:$W$4,0))))</f>
        <v>602.03212367175934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55000000000000004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367.73416764421137</v>
      </c>
      <c r="G150">
        <f ca="1">IF($C150-G$1&lt;År1,0,F149*(1-VLOOKUP($A150,[1]Hugst!$R$5:$W$9,MATCH(ROUNDUP((G$1)/10,0)*10,[1]Hugst!$R$4:$W$4,0))))</f>
        <v>368.21878006304479</v>
      </c>
      <c r="H150">
        <f ca="1">IF($C150-H$1&lt;År1,0,G149*(1-VLOOKUP($A150,[1]Hugst!$R$5:$W$9,MATCH(ROUNDUP((H$1)/10,0)*10,[1]Hugst!$R$4:$W$4,0))))</f>
        <v>368.70582772016525</v>
      </c>
      <c r="I150">
        <f ca="1">IF($C150-I$1&lt;År1,0,H149*(1-VLOOKUP($A150,[1]Hugst!$R$5:$W$9,MATCH(ROUNDUP((I$1)/10,0)*10,[1]Hugst!$R$4:$W$4,0))))</f>
        <v>369.19532285294991</v>
      </c>
      <c r="J150">
        <f ca="1">IF($C150-J$1&lt;År1,0,I149*(1-VLOOKUP($A150,[1]Hugst!$R$5:$W$9,MATCH(ROUNDUP((J$1)/10,0)*10,[1]Hugst!$R$4:$W$4,0))))</f>
        <v>369.68727776026782</v>
      </c>
      <c r="K150">
        <f ca="1">IF($C150-K$1&lt;År1,0,J149*(1-VLOOKUP($A150,[1]Hugst!$R$5:$W$9,MATCH(ROUNDUP((K$1)/10,0)*10,[1]Hugst!$R$4:$W$4,0))))</f>
        <v>370.18170480279792</v>
      </c>
      <c r="L150">
        <f ca="1">IF($C150-L$1&lt;År1,0,K149*(1-VLOOKUP($A150,[1]Hugst!$R$5:$W$9,MATCH(ROUNDUP((L$1)/10,0)*10,[1]Hugst!$R$4:$W$4,0))))</f>
        <v>370.67861640333882</v>
      </c>
      <c r="M150">
        <f ca="1">IF($C150-M$1&lt;År1,0,L149*(1-VLOOKUP($A150,[1]Hugst!$R$5:$W$9,MATCH(ROUNDUP((M$1)/10,0)*10,[1]Hugst!$R$4:$W$4,0))))</f>
        <v>371.17802504708953</v>
      </c>
      <c r="N150">
        <f ca="1">IF($C150-N$1&lt;År1,0,M149*(1-VLOOKUP($A150,[1]Hugst!$R$5:$W$9,MATCH(ROUNDUP((N$1)/10,0)*10,[1]Hugst!$R$4:$W$4,0))))</f>
        <v>371.679943282019</v>
      </c>
      <c r="O150">
        <f ca="1">IF($C150-O$1&lt;År1,0,N149*(1-VLOOKUP($A150,[1]Hugst!$R$5:$W$9,MATCH(ROUNDUP((O$1)/10,0)*10,[1]Hugst!$R$4:$W$4,0))))</f>
        <v>372.18438371913368</v>
      </c>
      <c r="P150">
        <f ca="1">IF($C150-P$1&lt;År1,0,O149*(1-VLOOKUP($A150,[1]Hugst!$R$5:$W$9,MATCH(ROUNDUP((P$1)/10,0)*10,[1]Hugst!$R$4:$W$4,0))))</f>
        <v>372.69135903281409</v>
      </c>
      <c r="Q150">
        <f ca="1">IF($C150-Q$1&lt;År1,0,P149*(1-VLOOKUP($A150,[1]Hugst!$R$5:$W$9,MATCH(ROUNDUP((Q$1)/10,0)*10,[1]Hugst!$R$4:$W$4,0))))</f>
        <v>373.2008819611379</v>
      </c>
      <c r="R150">
        <f ca="1">IF($C150-R$1&lt;År1,0,Q149*(1-VLOOKUP($A150,[1]Hugst!$R$5:$W$9,MATCH(ROUNDUP((R$1)/10,0)*10,[1]Hugst!$R$4:$W$4,0))))</f>
        <v>373.71296530619003</v>
      </c>
      <c r="S150">
        <f ca="1">IF($C150-S$1&lt;År1,0,R149*(1-VLOOKUP($A150,[1]Hugst!$R$5:$W$9,MATCH(ROUNDUP((S$1)/10,0)*10,[1]Hugst!$R$4:$W$4,0))))</f>
        <v>374.22762193437535</v>
      </c>
      <c r="T150">
        <f ca="1">IF($C150-T$1&lt;År1,0,S149*(1-VLOOKUP($A150,[1]Hugst!$R$5:$W$9,MATCH(ROUNDUP((T$1)/10,0)*10,[1]Hugst!$R$4:$W$4,0))))</f>
        <v>596.71456174648119</v>
      </c>
      <c r="U150">
        <f ca="1">IF($C150-U$1&lt;År1,0,T149*(1-VLOOKUP($A150,[1]Hugst!$R$5:$W$9,MATCH(ROUNDUP((U$1)/10,0)*10,[1]Hugst!$R$4:$W$4,0))))</f>
        <v>597.23440379914155</v>
      </c>
      <c r="V150">
        <f ca="1">IF($C150-V$1&lt;År1,0,U149*(1-VLOOKUP($A150,[1]Hugst!$R$5:$W$9,MATCH(ROUNDUP((V$1)/10,0)*10,[1]Hugst!$R$4:$W$4,0))))</f>
        <v>597.75685812343352</v>
      </c>
      <c r="W150">
        <f ca="1">IF($C150-W$1&lt;År1,0,V149*(1-VLOOKUP($A150,[1]Hugst!$R$5:$W$9,MATCH(ROUNDUP((W$1)/10,0)*10,[1]Hugst!$R$4:$W$4,0))))</f>
        <v>598.28193784633402</v>
      </c>
      <c r="X150">
        <f ca="1">IF($C150-X$1&lt;År1,0,W149*(1-VLOOKUP($A150,[1]Hugst!$R$5:$W$9,MATCH(ROUNDUP((X$1)/10,0)*10,[1]Hugst!$R$4:$W$4,0))))</f>
        <v>598.80965616080709</v>
      </c>
      <c r="Y150">
        <f ca="1">IF($C150-Y$1&lt;År1,0,X149*(1-VLOOKUP($A150,[1]Hugst!$R$5:$W$9,MATCH(ROUNDUP((Y$1)/10,0)*10,[1]Hugst!$R$4:$W$4,0))))</f>
        <v>599.34002632610714</v>
      </c>
      <c r="Z150">
        <f ca="1">IF($C150-Z$1&lt;År1,0,Y149*(1-VLOOKUP($A150,[1]Hugst!$R$5:$W$9,MATCH(ROUNDUP((Z$1)/10,0)*10,[1]Hugst!$R$4:$W$4,0))))</f>
        <v>599.87306166811823</v>
      </c>
      <c r="AA150">
        <f ca="1">IF($C150-AA$1&lt;År1,0,Z149*(1-VLOOKUP($A150,[1]Hugst!$R$5:$W$9,MATCH(ROUNDUP((AA$1)/10,0)*10,[1]Hugst!$R$4:$W$4,0))))</f>
        <v>600.40877557968702</v>
      </c>
      <c r="AB150">
        <f ca="1">IF($C150-AB$1&lt;År1,0,AA149*(1-VLOOKUP($A150,[1]Hugst!$R$5:$W$9,MATCH(ROUNDUP((AB$1)/10,0)*10,[1]Hugst!$R$4:$W$4,0))))</f>
        <v>600.94718152096243</v>
      </c>
      <c r="AC150">
        <f ca="1">IF($C150-AC$1&lt;År1,0,AB149*(1-VLOOKUP($A150,[1]Hugst!$R$5:$W$9,MATCH(ROUNDUP((AC$1)/10,0)*10,[1]Hugst!$R$4:$W$4,0))))</f>
        <v>601.48829301972796</v>
      </c>
      <c r="AD150">
        <f ca="1">IF($C150-AD$1&lt;År1,0,AC149*(1-VLOOKUP($A150,[1]Hugst!$R$5:$W$9,MATCH(ROUNDUP((AD$1)/10,0)*10,[1]Hugst!$R$4:$W$4,0))))</f>
        <v>602.03212367175934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55000000000000004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367.25197828747179</v>
      </c>
      <c r="G151">
        <f ca="1">IF($C151-G$1&lt;År1,0,F150*(1-VLOOKUP($A151,[1]Hugst!$R$5:$W$9,MATCH(ROUNDUP((G$1)/10,0)*10,[1]Hugst!$R$4:$W$4,0))))</f>
        <v>367.73416764421137</v>
      </c>
      <c r="H151">
        <f ca="1">IF($C151-H$1&lt;År1,0,G150*(1-VLOOKUP($A151,[1]Hugst!$R$5:$W$9,MATCH(ROUNDUP((H$1)/10,0)*10,[1]Hugst!$R$4:$W$4,0))))</f>
        <v>368.21878006304479</v>
      </c>
      <c r="I151">
        <f ca="1">IF($C151-I$1&lt;År1,0,H150*(1-VLOOKUP($A151,[1]Hugst!$R$5:$W$9,MATCH(ROUNDUP((I$1)/10,0)*10,[1]Hugst!$R$4:$W$4,0))))</f>
        <v>368.70582772016525</v>
      </c>
      <c r="J151">
        <f ca="1">IF($C151-J$1&lt;År1,0,I150*(1-VLOOKUP($A151,[1]Hugst!$R$5:$W$9,MATCH(ROUNDUP((J$1)/10,0)*10,[1]Hugst!$R$4:$W$4,0))))</f>
        <v>369.19532285294991</v>
      </c>
      <c r="K151">
        <f ca="1">IF($C151-K$1&lt;År1,0,J150*(1-VLOOKUP($A151,[1]Hugst!$R$5:$W$9,MATCH(ROUNDUP((K$1)/10,0)*10,[1]Hugst!$R$4:$W$4,0))))</f>
        <v>369.68727776026782</v>
      </c>
      <c r="L151">
        <f ca="1">IF($C151-L$1&lt;År1,0,K150*(1-VLOOKUP($A151,[1]Hugst!$R$5:$W$9,MATCH(ROUNDUP((L$1)/10,0)*10,[1]Hugst!$R$4:$W$4,0))))</f>
        <v>370.18170480279792</v>
      </c>
      <c r="M151">
        <f ca="1">IF($C151-M$1&lt;År1,0,L150*(1-VLOOKUP($A151,[1]Hugst!$R$5:$W$9,MATCH(ROUNDUP((M$1)/10,0)*10,[1]Hugst!$R$4:$W$4,0))))</f>
        <v>370.67861640333882</v>
      </c>
      <c r="N151">
        <f ca="1">IF($C151-N$1&lt;År1,0,M150*(1-VLOOKUP($A151,[1]Hugst!$R$5:$W$9,MATCH(ROUNDUP((N$1)/10,0)*10,[1]Hugst!$R$4:$W$4,0))))</f>
        <v>371.17802504708953</v>
      </c>
      <c r="O151">
        <f ca="1">IF($C151-O$1&lt;År1,0,N150*(1-VLOOKUP($A151,[1]Hugst!$R$5:$W$9,MATCH(ROUNDUP((O$1)/10,0)*10,[1]Hugst!$R$4:$W$4,0))))</f>
        <v>371.679943282019</v>
      </c>
      <c r="P151">
        <f ca="1">IF($C151-P$1&lt;År1,0,O150*(1-VLOOKUP($A151,[1]Hugst!$R$5:$W$9,MATCH(ROUNDUP((P$1)/10,0)*10,[1]Hugst!$R$4:$W$4,0))))</f>
        <v>372.18438371913368</v>
      </c>
      <c r="Q151">
        <f ca="1">IF($C151-Q$1&lt;År1,0,P150*(1-VLOOKUP($A151,[1]Hugst!$R$5:$W$9,MATCH(ROUNDUP((Q$1)/10,0)*10,[1]Hugst!$R$4:$W$4,0))))</f>
        <v>372.69135903281409</v>
      </c>
      <c r="R151">
        <f ca="1">IF($C151-R$1&lt;År1,0,Q150*(1-VLOOKUP($A151,[1]Hugst!$R$5:$W$9,MATCH(ROUNDUP((R$1)/10,0)*10,[1]Hugst!$R$4:$W$4,0))))</f>
        <v>373.2008819611379</v>
      </c>
      <c r="S151">
        <f ca="1">IF($C151-S$1&lt;År1,0,R150*(1-VLOOKUP($A151,[1]Hugst!$R$5:$W$9,MATCH(ROUNDUP((S$1)/10,0)*10,[1]Hugst!$R$4:$W$4,0))))</f>
        <v>373.71296530619003</v>
      </c>
      <c r="T151">
        <f ca="1">IF($C151-T$1&lt;År1,0,S150*(1-VLOOKUP($A151,[1]Hugst!$R$5:$W$9,MATCH(ROUNDUP((T$1)/10,0)*10,[1]Hugst!$R$4:$W$4,0))))</f>
        <v>374.22762193437535</v>
      </c>
      <c r="U151">
        <f ca="1">IF($C151-U$1&lt;År1,0,T150*(1-VLOOKUP($A151,[1]Hugst!$R$5:$W$9,MATCH(ROUNDUP((U$1)/10,0)*10,[1]Hugst!$R$4:$W$4,0))))</f>
        <v>596.71456174648119</v>
      </c>
      <c r="V151">
        <f ca="1">IF($C151-V$1&lt;År1,0,U150*(1-VLOOKUP($A151,[1]Hugst!$R$5:$W$9,MATCH(ROUNDUP((V$1)/10,0)*10,[1]Hugst!$R$4:$W$4,0))))</f>
        <v>597.23440379914155</v>
      </c>
      <c r="W151">
        <f ca="1">IF($C151-W$1&lt;År1,0,V150*(1-VLOOKUP($A151,[1]Hugst!$R$5:$W$9,MATCH(ROUNDUP((W$1)/10,0)*10,[1]Hugst!$R$4:$W$4,0))))</f>
        <v>597.75685812343352</v>
      </c>
      <c r="X151">
        <f ca="1">IF($C151-X$1&lt;År1,0,W150*(1-VLOOKUP($A151,[1]Hugst!$R$5:$W$9,MATCH(ROUNDUP((X$1)/10,0)*10,[1]Hugst!$R$4:$W$4,0))))</f>
        <v>598.28193784633402</v>
      </c>
      <c r="Y151">
        <f ca="1">IF($C151-Y$1&lt;År1,0,X150*(1-VLOOKUP($A151,[1]Hugst!$R$5:$W$9,MATCH(ROUNDUP((Y$1)/10,0)*10,[1]Hugst!$R$4:$W$4,0))))</f>
        <v>598.80965616080709</v>
      </c>
      <c r="Z151">
        <f ca="1">IF($C151-Z$1&lt;År1,0,Y150*(1-VLOOKUP($A151,[1]Hugst!$R$5:$W$9,MATCH(ROUNDUP((Z$1)/10,0)*10,[1]Hugst!$R$4:$W$4,0))))</f>
        <v>599.34002632610714</v>
      </c>
      <c r="AA151">
        <f ca="1">IF($C151-AA$1&lt;År1,0,Z150*(1-VLOOKUP($A151,[1]Hugst!$R$5:$W$9,MATCH(ROUNDUP((AA$1)/10,0)*10,[1]Hugst!$R$4:$W$4,0))))</f>
        <v>599.87306166811823</v>
      </c>
      <c r="AB151">
        <f ca="1">IF($C151-AB$1&lt;År1,0,AA150*(1-VLOOKUP($A151,[1]Hugst!$R$5:$W$9,MATCH(ROUNDUP((AB$1)/10,0)*10,[1]Hugst!$R$4:$W$4,0))))</f>
        <v>600.40877557968702</v>
      </c>
      <c r="AC151">
        <f ca="1">IF($C151-AC$1&lt;År1,0,AB150*(1-VLOOKUP($A151,[1]Hugst!$R$5:$W$9,MATCH(ROUNDUP((AC$1)/10,0)*10,[1]Hugst!$R$4:$W$4,0))))</f>
        <v>600.94718152096243</v>
      </c>
      <c r="AD151">
        <f ca="1">IF($C151-AD$1&lt;År1,0,AC150*(1-VLOOKUP($A151,[1]Hugst!$R$5:$W$9,MATCH(ROUNDUP((AD$1)/10,0)*10,[1]Hugst!$R$4:$W$4,0))))</f>
        <v>601.48829301972796</v>
      </c>
      <c r="AE151">
        <f ca="1">IF($C151-AE$1&lt;År1,0,AD150*(1-VLOOKUP($A151,[1]Hugst!$R$5:$W$9,MATCH(ROUNDUP((AE$1)/10,0)*10,[1]Hugst!$R$4:$W$4,0))))</f>
        <v>602.03212367175934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55000000000000004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366.77219987751897</v>
      </c>
      <c r="G152">
        <f ca="1">IF($C152-G$1&lt;År1,0,F151*(1-VLOOKUP($A152,[1]Hugst!$R$5:$W$9,MATCH(ROUNDUP((G$1)/10,0)*10,[1]Hugst!$R$4:$W$4,0))))</f>
        <v>367.25197828747179</v>
      </c>
      <c r="H152">
        <f ca="1">IF($C152-H$1&lt;År1,0,G151*(1-VLOOKUP($A152,[1]Hugst!$R$5:$W$9,MATCH(ROUNDUP((H$1)/10,0)*10,[1]Hugst!$R$4:$W$4,0))))</f>
        <v>367.73416764421137</v>
      </c>
      <c r="I152">
        <f ca="1">IF($C152-I$1&lt;År1,0,H151*(1-VLOOKUP($A152,[1]Hugst!$R$5:$W$9,MATCH(ROUNDUP((I$1)/10,0)*10,[1]Hugst!$R$4:$W$4,0))))</f>
        <v>368.21878006304479</v>
      </c>
      <c r="J152">
        <f ca="1">IF($C152-J$1&lt;År1,0,I151*(1-VLOOKUP($A152,[1]Hugst!$R$5:$W$9,MATCH(ROUNDUP((J$1)/10,0)*10,[1]Hugst!$R$4:$W$4,0))))</f>
        <v>368.70582772016525</v>
      </c>
      <c r="K152">
        <f ca="1">IF($C152-K$1&lt;År1,0,J151*(1-VLOOKUP($A152,[1]Hugst!$R$5:$W$9,MATCH(ROUNDUP((K$1)/10,0)*10,[1]Hugst!$R$4:$W$4,0))))</f>
        <v>369.19532285294991</v>
      </c>
      <c r="L152">
        <f ca="1">IF($C152-L$1&lt;År1,0,K151*(1-VLOOKUP($A152,[1]Hugst!$R$5:$W$9,MATCH(ROUNDUP((L$1)/10,0)*10,[1]Hugst!$R$4:$W$4,0))))</f>
        <v>369.68727776026782</v>
      </c>
      <c r="M152">
        <f ca="1">IF($C152-M$1&lt;År1,0,L151*(1-VLOOKUP($A152,[1]Hugst!$R$5:$W$9,MATCH(ROUNDUP((M$1)/10,0)*10,[1]Hugst!$R$4:$W$4,0))))</f>
        <v>370.18170480279792</v>
      </c>
      <c r="N152">
        <f ca="1">IF($C152-N$1&lt;År1,0,M151*(1-VLOOKUP($A152,[1]Hugst!$R$5:$W$9,MATCH(ROUNDUP((N$1)/10,0)*10,[1]Hugst!$R$4:$W$4,0))))</f>
        <v>370.67861640333882</v>
      </c>
      <c r="O152">
        <f ca="1">IF($C152-O$1&lt;År1,0,N151*(1-VLOOKUP($A152,[1]Hugst!$R$5:$W$9,MATCH(ROUNDUP((O$1)/10,0)*10,[1]Hugst!$R$4:$W$4,0))))</f>
        <v>371.17802504708953</v>
      </c>
      <c r="P152">
        <f ca="1">IF($C152-P$1&lt;År1,0,O151*(1-VLOOKUP($A152,[1]Hugst!$R$5:$W$9,MATCH(ROUNDUP((P$1)/10,0)*10,[1]Hugst!$R$4:$W$4,0))))</f>
        <v>371.679943282019</v>
      </c>
      <c r="Q152">
        <f ca="1">IF($C152-Q$1&lt;År1,0,P151*(1-VLOOKUP($A152,[1]Hugst!$R$5:$W$9,MATCH(ROUNDUP((Q$1)/10,0)*10,[1]Hugst!$R$4:$W$4,0))))</f>
        <v>372.18438371913368</v>
      </c>
      <c r="R152">
        <f ca="1">IF($C152-R$1&lt;År1,0,Q151*(1-VLOOKUP($A152,[1]Hugst!$R$5:$W$9,MATCH(ROUNDUP((R$1)/10,0)*10,[1]Hugst!$R$4:$W$4,0))))</f>
        <v>372.69135903281409</v>
      </c>
      <c r="S152">
        <f ca="1">IF($C152-S$1&lt;År1,0,R151*(1-VLOOKUP($A152,[1]Hugst!$R$5:$W$9,MATCH(ROUNDUP((S$1)/10,0)*10,[1]Hugst!$R$4:$W$4,0))))</f>
        <v>373.2008819611379</v>
      </c>
      <c r="T152">
        <f ca="1">IF($C152-T$1&lt;År1,0,S151*(1-VLOOKUP($A152,[1]Hugst!$R$5:$W$9,MATCH(ROUNDUP((T$1)/10,0)*10,[1]Hugst!$R$4:$W$4,0))))</f>
        <v>373.71296530619003</v>
      </c>
      <c r="U152">
        <f ca="1">IF($C152-U$1&lt;År1,0,T151*(1-VLOOKUP($A152,[1]Hugst!$R$5:$W$9,MATCH(ROUNDUP((U$1)/10,0)*10,[1]Hugst!$R$4:$W$4,0))))</f>
        <v>374.22762193437535</v>
      </c>
      <c r="V152">
        <f ca="1">IF($C152-V$1&lt;År1,0,U151*(1-VLOOKUP($A152,[1]Hugst!$R$5:$W$9,MATCH(ROUNDUP((V$1)/10,0)*10,[1]Hugst!$R$4:$W$4,0))))</f>
        <v>596.71456174648119</v>
      </c>
      <c r="W152">
        <f ca="1">IF($C152-W$1&lt;År1,0,V151*(1-VLOOKUP($A152,[1]Hugst!$R$5:$W$9,MATCH(ROUNDUP((W$1)/10,0)*10,[1]Hugst!$R$4:$W$4,0))))</f>
        <v>597.23440379914155</v>
      </c>
      <c r="X152">
        <f ca="1">IF($C152-X$1&lt;År1,0,W151*(1-VLOOKUP($A152,[1]Hugst!$R$5:$W$9,MATCH(ROUNDUP((X$1)/10,0)*10,[1]Hugst!$R$4:$W$4,0))))</f>
        <v>597.75685812343352</v>
      </c>
      <c r="Y152">
        <f ca="1">IF($C152-Y$1&lt;År1,0,X151*(1-VLOOKUP($A152,[1]Hugst!$R$5:$W$9,MATCH(ROUNDUP((Y$1)/10,0)*10,[1]Hugst!$R$4:$W$4,0))))</f>
        <v>598.28193784633402</v>
      </c>
      <c r="Z152">
        <f ca="1">IF($C152-Z$1&lt;År1,0,Y151*(1-VLOOKUP($A152,[1]Hugst!$R$5:$W$9,MATCH(ROUNDUP((Z$1)/10,0)*10,[1]Hugst!$R$4:$W$4,0))))</f>
        <v>598.80965616080709</v>
      </c>
      <c r="AA152">
        <f ca="1">IF($C152-AA$1&lt;År1,0,Z151*(1-VLOOKUP($A152,[1]Hugst!$R$5:$W$9,MATCH(ROUNDUP((AA$1)/10,0)*10,[1]Hugst!$R$4:$W$4,0))))</f>
        <v>599.34002632610714</v>
      </c>
      <c r="AB152">
        <f ca="1">IF($C152-AB$1&lt;År1,0,AA151*(1-VLOOKUP($A152,[1]Hugst!$R$5:$W$9,MATCH(ROUNDUP((AB$1)/10,0)*10,[1]Hugst!$R$4:$W$4,0))))</f>
        <v>599.87306166811823</v>
      </c>
      <c r="AC152">
        <f ca="1">IF($C152-AC$1&lt;År1,0,AB151*(1-VLOOKUP($A152,[1]Hugst!$R$5:$W$9,MATCH(ROUNDUP((AC$1)/10,0)*10,[1]Hugst!$R$4:$W$4,0))))</f>
        <v>600.40877557968702</v>
      </c>
      <c r="AD152">
        <f ca="1">IF($C152-AD$1&lt;År1,0,AC151*(1-VLOOKUP($A152,[1]Hugst!$R$5:$W$9,MATCH(ROUNDUP((AD$1)/10,0)*10,[1]Hugst!$R$4:$W$4,0))))</f>
        <v>600.94718152096243</v>
      </c>
      <c r="AE152">
        <f ca="1">IF($C152-AE$1&lt;År1,0,AD151*(1-VLOOKUP($A152,[1]Hugst!$R$5:$W$9,MATCH(ROUNDUP((AE$1)/10,0)*10,[1]Hugst!$R$4:$W$4,0))))</f>
        <v>601.48829301972796</v>
      </c>
      <c r="AF152">
        <f ca="1">IF($C152-AF$1&lt;År1,0,AE151*(1-VLOOKUP($A152,[1]Hugst!$R$5:$W$9,MATCH(ROUNDUP((AF$1)/10,0)*10,[1]Hugst!$R$4:$W$4,0))))</f>
        <v>602.03212367175934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55000000000000004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366.29482035960683</v>
      </c>
      <c r="G153">
        <f ca="1">IF($C153-G$1&lt;År1,0,F152*(1-VLOOKUP($A153,[1]Hugst!$R$5:$W$9,MATCH(ROUNDUP((G$1)/10,0)*10,[1]Hugst!$R$4:$W$4,0))))</f>
        <v>366.77219987751897</v>
      </c>
      <c r="H153">
        <f ca="1">IF($C153-H$1&lt;År1,0,G152*(1-VLOOKUP($A153,[1]Hugst!$R$5:$W$9,MATCH(ROUNDUP((H$1)/10,0)*10,[1]Hugst!$R$4:$W$4,0))))</f>
        <v>367.25197828747179</v>
      </c>
      <c r="I153">
        <f ca="1">IF($C153-I$1&lt;År1,0,H152*(1-VLOOKUP($A153,[1]Hugst!$R$5:$W$9,MATCH(ROUNDUP((I$1)/10,0)*10,[1]Hugst!$R$4:$W$4,0))))</f>
        <v>367.73416764421137</v>
      </c>
      <c r="J153">
        <f ca="1">IF($C153-J$1&lt;År1,0,I152*(1-VLOOKUP($A153,[1]Hugst!$R$5:$W$9,MATCH(ROUNDUP((J$1)/10,0)*10,[1]Hugst!$R$4:$W$4,0))))</f>
        <v>368.21878006304479</v>
      </c>
      <c r="K153">
        <f ca="1">IF($C153-K$1&lt;År1,0,J152*(1-VLOOKUP($A153,[1]Hugst!$R$5:$W$9,MATCH(ROUNDUP((K$1)/10,0)*10,[1]Hugst!$R$4:$W$4,0))))</f>
        <v>368.70582772016525</v>
      </c>
      <c r="L153">
        <f ca="1">IF($C153-L$1&lt;År1,0,K152*(1-VLOOKUP($A153,[1]Hugst!$R$5:$W$9,MATCH(ROUNDUP((L$1)/10,0)*10,[1]Hugst!$R$4:$W$4,0))))</f>
        <v>369.19532285294991</v>
      </c>
      <c r="M153">
        <f ca="1">IF($C153-M$1&lt;År1,0,L152*(1-VLOOKUP($A153,[1]Hugst!$R$5:$W$9,MATCH(ROUNDUP((M$1)/10,0)*10,[1]Hugst!$R$4:$W$4,0))))</f>
        <v>369.68727776026782</v>
      </c>
      <c r="N153">
        <f ca="1">IF($C153-N$1&lt;År1,0,M152*(1-VLOOKUP($A153,[1]Hugst!$R$5:$W$9,MATCH(ROUNDUP((N$1)/10,0)*10,[1]Hugst!$R$4:$W$4,0))))</f>
        <v>370.18170480279792</v>
      </c>
      <c r="O153">
        <f ca="1">IF($C153-O$1&lt;År1,0,N152*(1-VLOOKUP($A153,[1]Hugst!$R$5:$W$9,MATCH(ROUNDUP((O$1)/10,0)*10,[1]Hugst!$R$4:$W$4,0))))</f>
        <v>370.67861640333882</v>
      </c>
      <c r="P153">
        <f ca="1">IF($C153-P$1&lt;År1,0,O152*(1-VLOOKUP($A153,[1]Hugst!$R$5:$W$9,MATCH(ROUNDUP((P$1)/10,0)*10,[1]Hugst!$R$4:$W$4,0))))</f>
        <v>371.17802504708953</v>
      </c>
      <c r="Q153">
        <f ca="1">IF($C153-Q$1&lt;År1,0,P152*(1-VLOOKUP($A153,[1]Hugst!$R$5:$W$9,MATCH(ROUNDUP((Q$1)/10,0)*10,[1]Hugst!$R$4:$W$4,0))))</f>
        <v>371.679943282019</v>
      </c>
      <c r="R153">
        <f ca="1">IF($C153-R$1&lt;År1,0,Q152*(1-VLOOKUP($A153,[1]Hugst!$R$5:$W$9,MATCH(ROUNDUP((R$1)/10,0)*10,[1]Hugst!$R$4:$W$4,0))))</f>
        <v>372.18438371913368</v>
      </c>
      <c r="S153">
        <f ca="1">IF($C153-S$1&lt;År1,0,R152*(1-VLOOKUP($A153,[1]Hugst!$R$5:$W$9,MATCH(ROUNDUP((S$1)/10,0)*10,[1]Hugst!$R$4:$W$4,0))))</f>
        <v>372.69135903281409</v>
      </c>
      <c r="T153">
        <f ca="1">IF($C153-T$1&lt;År1,0,S152*(1-VLOOKUP($A153,[1]Hugst!$R$5:$W$9,MATCH(ROUNDUP((T$1)/10,0)*10,[1]Hugst!$R$4:$W$4,0))))</f>
        <v>373.2008819611379</v>
      </c>
      <c r="U153">
        <f ca="1">IF($C153-U$1&lt;År1,0,T152*(1-VLOOKUP($A153,[1]Hugst!$R$5:$W$9,MATCH(ROUNDUP((U$1)/10,0)*10,[1]Hugst!$R$4:$W$4,0))))</f>
        <v>373.71296530619003</v>
      </c>
      <c r="V153">
        <f ca="1">IF($C153-V$1&lt;År1,0,U152*(1-VLOOKUP($A153,[1]Hugst!$R$5:$W$9,MATCH(ROUNDUP((V$1)/10,0)*10,[1]Hugst!$R$4:$W$4,0))))</f>
        <v>374.22762193437535</v>
      </c>
      <c r="W153">
        <f ca="1">IF($C153-W$1&lt;År1,0,V152*(1-VLOOKUP($A153,[1]Hugst!$R$5:$W$9,MATCH(ROUNDUP((W$1)/10,0)*10,[1]Hugst!$R$4:$W$4,0))))</f>
        <v>596.71456174648119</v>
      </c>
      <c r="X153">
        <f ca="1">IF($C153-X$1&lt;År1,0,W152*(1-VLOOKUP($A153,[1]Hugst!$R$5:$W$9,MATCH(ROUNDUP((X$1)/10,0)*10,[1]Hugst!$R$4:$W$4,0))))</f>
        <v>597.23440379914155</v>
      </c>
      <c r="Y153">
        <f ca="1">IF($C153-Y$1&lt;År1,0,X152*(1-VLOOKUP($A153,[1]Hugst!$R$5:$W$9,MATCH(ROUNDUP((Y$1)/10,0)*10,[1]Hugst!$R$4:$W$4,0))))</f>
        <v>597.75685812343352</v>
      </c>
      <c r="Z153">
        <f ca="1">IF($C153-Z$1&lt;År1,0,Y152*(1-VLOOKUP($A153,[1]Hugst!$R$5:$W$9,MATCH(ROUNDUP((Z$1)/10,0)*10,[1]Hugst!$R$4:$W$4,0))))</f>
        <v>598.28193784633402</v>
      </c>
      <c r="AA153">
        <f ca="1">IF($C153-AA$1&lt;År1,0,Z152*(1-VLOOKUP($A153,[1]Hugst!$R$5:$W$9,MATCH(ROUNDUP((AA$1)/10,0)*10,[1]Hugst!$R$4:$W$4,0))))</f>
        <v>598.80965616080709</v>
      </c>
      <c r="AB153">
        <f ca="1">IF($C153-AB$1&lt;År1,0,AA152*(1-VLOOKUP($A153,[1]Hugst!$R$5:$W$9,MATCH(ROUNDUP((AB$1)/10,0)*10,[1]Hugst!$R$4:$W$4,0))))</f>
        <v>599.34002632610714</v>
      </c>
      <c r="AC153">
        <f ca="1">IF($C153-AC$1&lt;År1,0,AB152*(1-VLOOKUP($A153,[1]Hugst!$R$5:$W$9,MATCH(ROUNDUP((AC$1)/10,0)*10,[1]Hugst!$R$4:$W$4,0))))</f>
        <v>599.87306166811823</v>
      </c>
      <c r="AD153">
        <f ca="1">IF($C153-AD$1&lt;År1,0,AC152*(1-VLOOKUP($A153,[1]Hugst!$R$5:$W$9,MATCH(ROUNDUP((AD$1)/10,0)*10,[1]Hugst!$R$4:$W$4,0))))</f>
        <v>600.40877557968702</v>
      </c>
      <c r="AE153">
        <f ca="1">IF($C153-AE$1&lt;År1,0,AD152*(1-VLOOKUP($A153,[1]Hugst!$R$5:$W$9,MATCH(ROUNDUP((AE$1)/10,0)*10,[1]Hugst!$R$4:$W$4,0))))</f>
        <v>600.94718152096243</v>
      </c>
      <c r="AF153">
        <f ca="1">IF($C153-AF$1&lt;År1,0,AE152*(1-VLOOKUP($A153,[1]Hugst!$R$5:$W$9,MATCH(ROUNDUP((AF$1)/10,0)*10,[1]Hugst!$R$4:$W$4,0))))</f>
        <v>601.48829301972796</v>
      </c>
      <c r="AG153">
        <f ca="1">IF($C153-AG$1&lt;År1,0,AF152*(1-VLOOKUP($A153,[1]Hugst!$R$5:$W$9,MATCH(ROUNDUP((AG$1)/10,0)*10,[1]Hugst!$R$4:$W$4,0))))</f>
        <v>602.03212367175934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55000000000000004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365.81982773929332</v>
      </c>
      <c r="G154">
        <f ca="1">IF($C154-G$1&lt;År1,0,F153*(1-VLOOKUP($A154,[1]Hugst!$R$5:$W$9,MATCH(ROUNDUP((G$1)/10,0)*10,[1]Hugst!$R$4:$W$4,0))))</f>
        <v>366.29482035960683</v>
      </c>
      <c r="H154">
        <f ca="1">IF($C154-H$1&lt;År1,0,G153*(1-VLOOKUP($A154,[1]Hugst!$R$5:$W$9,MATCH(ROUNDUP((H$1)/10,0)*10,[1]Hugst!$R$4:$W$4,0))))</f>
        <v>366.77219987751897</v>
      </c>
      <c r="I154">
        <f ca="1">IF($C154-I$1&lt;År1,0,H153*(1-VLOOKUP($A154,[1]Hugst!$R$5:$W$9,MATCH(ROUNDUP((I$1)/10,0)*10,[1]Hugst!$R$4:$W$4,0))))</f>
        <v>367.25197828747179</v>
      </c>
      <c r="J154">
        <f ca="1">IF($C154-J$1&lt;År1,0,I153*(1-VLOOKUP($A154,[1]Hugst!$R$5:$W$9,MATCH(ROUNDUP((J$1)/10,0)*10,[1]Hugst!$R$4:$W$4,0))))</f>
        <v>367.73416764421137</v>
      </c>
      <c r="K154">
        <f ca="1">IF($C154-K$1&lt;År1,0,J153*(1-VLOOKUP($A154,[1]Hugst!$R$5:$W$9,MATCH(ROUNDUP((K$1)/10,0)*10,[1]Hugst!$R$4:$W$4,0))))</f>
        <v>368.21878006304479</v>
      </c>
      <c r="L154">
        <f ca="1">IF($C154-L$1&lt;År1,0,K153*(1-VLOOKUP($A154,[1]Hugst!$R$5:$W$9,MATCH(ROUNDUP((L$1)/10,0)*10,[1]Hugst!$R$4:$W$4,0))))</f>
        <v>368.70582772016525</v>
      </c>
      <c r="M154">
        <f ca="1">IF($C154-M$1&lt;År1,0,L153*(1-VLOOKUP($A154,[1]Hugst!$R$5:$W$9,MATCH(ROUNDUP((M$1)/10,0)*10,[1]Hugst!$R$4:$W$4,0))))</f>
        <v>369.19532285294991</v>
      </c>
      <c r="N154">
        <f ca="1">IF($C154-N$1&lt;År1,0,M153*(1-VLOOKUP($A154,[1]Hugst!$R$5:$W$9,MATCH(ROUNDUP((N$1)/10,0)*10,[1]Hugst!$R$4:$W$4,0))))</f>
        <v>369.68727776026782</v>
      </c>
      <c r="O154">
        <f ca="1">IF($C154-O$1&lt;År1,0,N153*(1-VLOOKUP($A154,[1]Hugst!$R$5:$W$9,MATCH(ROUNDUP((O$1)/10,0)*10,[1]Hugst!$R$4:$W$4,0))))</f>
        <v>370.18170480279792</v>
      </c>
      <c r="P154">
        <f ca="1">IF($C154-P$1&lt;År1,0,O153*(1-VLOOKUP($A154,[1]Hugst!$R$5:$W$9,MATCH(ROUNDUP((P$1)/10,0)*10,[1]Hugst!$R$4:$W$4,0))))</f>
        <v>370.67861640333882</v>
      </c>
      <c r="Q154">
        <f ca="1">IF($C154-Q$1&lt;År1,0,P153*(1-VLOOKUP($A154,[1]Hugst!$R$5:$W$9,MATCH(ROUNDUP((Q$1)/10,0)*10,[1]Hugst!$R$4:$W$4,0))))</f>
        <v>371.17802504708953</v>
      </c>
      <c r="R154">
        <f ca="1">IF($C154-R$1&lt;År1,0,Q153*(1-VLOOKUP($A154,[1]Hugst!$R$5:$W$9,MATCH(ROUNDUP((R$1)/10,0)*10,[1]Hugst!$R$4:$W$4,0))))</f>
        <v>371.679943282019</v>
      </c>
      <c r="S154">
        <f ca="1">IF($C154-S$1&lt;År1,0,R153*(1-VLOOKUP($A154,[1]Hugst!$R$5:$W$9,MATCH(ROUNDUP((S$1)/10,0)*10,[1]Hugst!$R$4:$W$4,0))))</f>
        <v>372.18438371913368</v>
      </c>
      <c r="T154">
        <f ca="1">IF($C154-T$1&lt;År1,0,S153*(1-VLOOKUP($A154,[1]Hugst!$R$5:$W$9,MATCH(ROUNDUP((T$1)/10,0)*10,[1]Hugst!$R$4:$W$4,0))))</f>
        <v>372.69135903281409</v>
      </c>
      <c r="U154">
        <f ca="1">IF($C154-U$1&lt;År1,0,T153*(1-VLOOKUP($A154,[1]Hugst!$R$5:$W$9,MATCH(ROUNDUP((U$1)/10,0)*10,[1]Hugst!$R$4:$W$4,0))))</f>
        <v>373.2008819611379</v>
      </c>
      <c r="V154">
        <f ca="1">IF($C154-V$1&lt;År1,0,U153*(1-VLOOKUP($A154,[1]Hugst!$R$5:$W$9,MATCH(ROUNDUP((V$1)/10,0)*10,[1]Hugst!$R$4:$W$4,0))))</f>
        <v>373.71296530619003</v>
      </c>
      <c r="W154">
        <f ca="1">IF($C154-W$1&lt;År1,0,V153*(1-VLOOKUP($A154,[1]Hugst!$R$5:$W$9,MATCH(ROUNDUP((W$1)/10,0)*10,[1]Hugst!$R$4:$W$4,0))))</f>
        <v>374.22762193437535</v>
      </c>
      <c r="X154">
        <f ca="1">IF($C154-X$1&lt;År1,0,W153*(1-VLOOKUP($A154,[1]Hugst!$R$5:$W$9,MATCH(ROUNDUP((X$1)/10,0)*10,[1]Hugst!$R$4:$W$4,0))))</f>
        <v>596.71456174648119</v>
      </c>
      <c r="Y154">
        <f ca="1">IF($C154-Y$1&lt;År1,0,X153*(1-VLOOKUP($A154,[1]Hugst!$R$5:$W$9,MATCH(ROUNDUP((Y$1)/10,0)*10,[1]Hugst!$R$4:$W$4,0))))</f>
        <v>597.23440379914155</v>
      </c>
      <c r="Z154">
        <f ca="1">IF($C154-Z$1&lt;År1,0,Y153*(1-VLOOKUP($A154,[1]Hugst!$R$5:$W$9,MATCH(ROUNDUP((Z$1)/10,0)*10,[1]Hugst!$R$4:$W$4,0))))</f>
        <v>597.75685812343352</v>
      </c>
      <c r="AA154">
        <f ca="1">IF($C154-AA$1&lt;År1,0,Z153*(1-VLOOKUP($A154,[1]Hugst!$R$5:$W$9,MATCH(ROUNDUP((AA$1)/10,0)*10,[1]Hugst!$R$4:$W$4,0))))</f>
        <v>598.28193784633402</v>
      </c>
      <c r="AB154">
        <f ca="1">IF($C154-AB$1&lt;År1,0,AA153*(1-VLOOKUP($A154,[1]Hugst!$R$5:$W$9,MATCH(ROUNDUP((AB$1)/10,0)*10,[1]Hugst!$R$4:$W$4,0))))</f>
        <v>598.80965616080709</v>
      </c>
      <c r="AC154">
        <f ca="1">IF($C154-AC$1&lt;År1,0,AB153*(1-VLOOKUP($A154,[1]Hugst!$R$5:$W$9,MATCH(ROUNDUP((AC$1)/10,0)*10,[1]Hugst!$R$4:$W$4,0))))</f>
        <v>599.34002632610714</v>
      </c>
      <c r="AD154">
        <f ca="1">IF($C154-AD$1&lt;År1,0,AC153*(1-VLOOKUP($A154,[1]Hugst!$R$5:$W$9,MATCH(ROUNDUP((AD$1)/10,0)*10,[1]Hugst!$R$4:$W$4,0))))</f>
        <v>599.87306166811823</v>
      </c>
      <c r="AE154">
        <f ca="1">IF($C154-AE$1&lt;År1,0,AD153*(1-VLOOKUP($A154,[1]Hugst!$R$5:$W$9,MATCH(ROUNDUP((AE$1)/10,0)*10,[1]Hugst!$R$4:$W$4,0))))</f>
        <v>600.40877557968702</v>
      </c>
      <c r="AF154">
        <f ca="1">IF($C154-AF$1&lt;År1,0,AE153*(1-VLOOKUP($A154,[1]Hugst!$R$5:$W$9,MATCH(ROUNDUP((AF$1)/10,0)*10,[1]Hugst!$R$4:$W$4,0))))</f>
        <v>600.94718152096243</v>
      </c>
      <c r="AG154">
        <f ca="1">IF($C154-AG$1&lt;År1,0,AF153*(1-VLOOKUP($A154,[1]Hugst!$R$5:$W$9,MATCH(ROUNDUP((AG$1)/10,0)*10,[1]Hugst!$R$4:$W$4,0))))</f>
        <v>601.48829301972796</v>
      </c>
      <c r="AH154">
        <f ca="1">IF($C154-AH$1&lt;År1,0,AG153*(1-VLOOKUP($A154,[1]Hugst!$R$5:$W$9,MATCH(ROUNDUP((AH$1)/10,0)*10,[1]Hugst!$R$4:$W$4,0))))</f>
        <v>602.03212367175934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55000000000000004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365.34721008207845</v>
      </c>
      <c r="G155">
        <f ca="1">IF($C155-G$1&lt;År1,0,F154*(1-VLOOKUP($A155,[1]Hugst!$R$5:$W$9,MATCH(ROUNDUP((G$1)/10,0)*10,[1]Hugst!$R$4:$W$4,0))))</f>
        <v>365.81982773929332</v>
      </c>
      <c r="H155">
        <f ca="1">IF($C155-H$1&lt;År1,0,G154*(1-VLOOKUP($A155,[1]Hugst!$R$5:$W$9,MATCH(ROUNDUP((H$1)/10,0)*10,[1]Hugst!$R$4:$W$4,0))))</f>
        <v>366.29482035960683</v>
      </c>
      <c r="I155">
        <f ca="1">IF($C155-I$1&lt;År1,0,H154*(1-VLOOKUP($A155,[1]Hugst!$R$5:$W$9,MATCH(ROUNDUP((I$1)/10,0)*10,[1]Hugst!$R$4:$W$4,0))))</f>
        <v>366.77219987751897</v>
      </c>
      <c r="J155">
        <f ca="1">IF($C155-J$1&lt;År1,0,I154*(1-VLOOKUP($A155,[1]Hugst!$R$5:$W$9,MATCH(ROUNDUP((J$1)/10,0)*10,[1]Hugst!$R$4:$W$4,0))))</f>
        <v>367.25197828747179</v>
      </c>
      <c r="K155">
        <f ca="1">IF($C155-K$1&lt;År1,0,J154*(1-VLOOKUP($A155,[1]Hugst!$R$5:$W$9,MATCH(ROUNDUP((K$1)/10,0)*10,[1]Hugst!$R$4:$W$4,0))))</f>
        <v>367.73416764421137</v>
      </c>
      <c r="L155">
        <f ca="1">IF($C155-L$1&lt;År1,0,K154*(1-VLOOKUP($A155,[1]Hugst!$R$5:$W$9,MATCH(ROUNDUP((L$1)/10,0)*10,[1]Hugst!$R$4:$W$4,0))))</f>
        <v>368.21878006304479</v>
      </c>
      <c r="M155">
        <f ca="1">IF($C155-M$1&lt;År1,0,L154*(1-VLOOKUP($A155,[1]Hugst!$R$5:$W$9,MATCH(ROUNDUP((M$1)/10,0)*10,[1]Hugst!$R$4:$W$4,0))))</f>
        <v>368.70582772016525</v>
      </c>
      <c r="N155">
        <f ca="1">IF($C155-N$1&lt;År1,0,M154*(1-VLOOKUP($A155,[1]Hugst!$R$5:$W$9,MATCH(ROUNDUP((N$1)/10,0)*10,[1]Hugst!$R$4:$W$4,0))))</f>
        <v>369.19532285294991</v>
      </c>
      <c r="O155">
        <f ca="1">IF($C155-O$1&lt;År1,0,N154*(1-VLOOKUP($A155,[1]Hugst!$R$5:$W$9,MATCH(ROUNDUP((O$1)/10,0)*10,[1]Hugst!$R$4:$W$4,0))))</f>
        <v>369.68727776026782</v>
      </c>
      <c r="P155">
        <f ca="1">IF($C155-P$1&lt;År1,0,O154*(1-VLOOKUP($A155,[1]Hugst!$R$5:$W$9,MATCH(ROUNDUP((P$1)/10,0)*10,[1]Hugst!$R$4:$W$4,0))))</f>
        <v>370.18170480279792</v>
      </c>
      <c r="Q155">
        <f ca="1">IF($C155-Q$1&lt;År1,0,P154*(1-VLOOKUP($A155,[1]Hugst!$R$5:$W$9,MATCH(ROUNDUP((Q$1)/10,0)*10,[1]Hugst!$R$4:$W$4,0))))</f>
        <v>370.67861640333882</v>
      </c>
      <c r="R155">
        <f ca="1">IF($C155-R$1&lt;År1,0,Q154*(1-VLOOKUP($A155,[1]Hugst!$R$5:$W$9,MATCH(ROUNDUP((R$1)/10,0)*10,[1]Hugst!$R$4:$W$4,0))))</f>
        <v>371.17802504708953</v>
      </c>
      <c r="S155">
        <f ca="1">IF($C155-S$1&lt;År1,0,R154*(1-VLOOKUP($A155,[1]Hugst!$R$5:$W$9,MATCH(ROUNDUP((S$1)/10,0)*10,[1]Hugst!$R$4:$W$4,0))))</f>
        <v>371.679943282019</v>
      </c>
      <c r="T155">
        <f ca="1">IF($C155-T$1&lt;År1,0,S154*(1-VLOOKUP($A155,[1]Hugst!$R$5:$W$9,MATCH(ROUNDUP((T$1)/10,0)*10,[1]Hugst!$R$4:$W$4,0))))</f>
        <v>372.18438371913368</v>
      </c>
      <c r="U155">
        <f ca="1">IF($C155-U$1&lt;År1,0,T154*(1-VLOOKUP($A155,[1]Hugst!$R$5:$W$9,MATCH(ROUNDUP((U$1)/10,0)*10,[1]Hugst!$R$4:$W$4,0))))</f>
        <v>372.69135903281409</v>
      </c>
      <c r="V155">
        <f ca="1">IF($C155-V$1&lt;År1,0,U154*(1-VLOOKUP($A155,[1]Hugst!$R$5:$W$9,MATCH(ROUNDUP((V$1)/10,0)*10,[1]Hugst!$R$4:$W$4,0))))</f>
        <v>373.2008819611379</v>
      </c>
      <c r="W155">
        <f ca="1">IF($C155-W$1&lt;År1,0,V154*(1-VLOOKUP($A155,[1]Hugst!$R$5:$W$9,MATCH(ROUNDUP((W$1)/10,0)*10,[1]Hugst!$R$4:$W$4,0))))</f>
        <v>373.71296530619003</v>
      </c>
      <c r="X155">
        <f ca="1">IF($C155-X$1&lt;År1,0,W154*(1-VLOOKUP($A155,[1]Hugst!$R$5:$W$9,MATCH(ROUNDUP((X$1)/10,0)*10,[1]Hugst!$R$4:$W$4,0))))</f>
        <v>374.22762193437535</v>
      </c>
      <c r="Y155">
        <f ca="1">IF($C155-Y$1&lt;År1,0,X154*(1-VLOOKUP($A155,[1]Hugst!$R$5:$W$9,MATCH(ROUNDUP((Y$1)/10,0)*10,[1]Hugst!$R$4:$W$4,0))))</f>
        <v>596.71456174648119</v>
      </c>
      <c r="Z155">
        <f ca="1">IF($C155-Z$1&lt;År1,0,Y154*(1-VLOOKUP($A155,[1]Hugst!$R$5:$W$9,MATCH(ROUNDUP((Z$1)/10,0)*10,[1]Hugst!$R$4:$W$4,0))))</f>
        <v>597.23440379914155</v>
      </c>
      <c r="AA155">
        <f ca="1">IF($C155-AA$1&lt;År1,0,Z154*(1-VLOOKUP($A155,[1]Hugst!$R$5:$W$9,MATCH(ROUNDUP((AA$1)/10,0)*10,[1]Hugst!$R$4:$W$4,0))))</f>
        <v>597.75685812343352</v>
      </c>
      <c r="AB155">
        <f ca="1">IF($C155-AB$1&lt;År1,0,AA154*(1-VLOOKUP($A155,[1]Hugst!$R$5:$W$9,MATCH(ROUNDUP((AB$1)/10,0)*10,[1]Hugst!$R$4:$W$4,0))))</f>
        <v>598.28193784633402</v>
      </c>
      <c r="AC155">
        <f ca="1">IF($C155-AC$1&lt;År1,0,AB154*(1-VLOOKUP($A155,[1]Hugst!$R$5:$W$9,MATCH(ROUNDUP((AC$1)/10,0)*10,[1]Hugst!$R$4:$W$4,0))))</f>
        <v>598.80965616080709</v>
      </c>
      <c r="AD155">
        <f ca="1">IF($C155-AD$1&lt;År1,0,AC154*(1-VLOOKUP($A155,[1]Hugst!$R$5:$W$9,MATCH(ROUNDUP((AD$1)/10,0)*10,[1]Hugst!$R$4:$W$4,0))))</f>
        <v>599.34002632610714</v>
      </c>
      <c r="AE155">
        <f ca="1">IF($C155-AE$1&lt;År1,0,AD154*(1-VLOOKUP($A155,[1]Hugst!$R$5:$W$9,MATCH(ROUNDUP((AE$1)/10,0)*10,[1]Hugst!$R$4:$W$4,0))))</f>
        <v>599.87306166811823</v>
      </c>
      <c r="AF155">
        <f ca="1">IF($C155-AF$1&lt;År1,0,AE154*(1-VLOOKUP($A155,[1]Hugst!$R$5:$W$9,MATCH(ROUNDUP((AF$1)/10,0)*10,[1]Hugst!$R$4:$W$4,0))))</f>
        <v>600.40877557968702</v>
      </c>
      <c r="AG155">
        <f ca="1">IF($C155-AG$1&lt;År1,0,AF154*(1-VLOOKUP($A155,[1]Hugst!$R$5:$W$9,MATCH(ROUNDUP((AG$1)/10,0)*10,[1]Hugst!$R$4:$W$4,0))))</f>
        <v>600.94718152096243</v>
      </c>
      <c r="AH155">
        <f ca="1">IF($C155-AH$1&lt;År1,0,AG154*(1-VLOOKUP($A155,[1]Hugst!$R$5:$W$9,MATCH(ROUNDUP((AH$1)/10,0)*10,[1]Hugst!$R$4:$W$4,0))))</f>
        <v>601.48829301972796</v>
      </c>
      <c r="AI155">
        <f ca="1">IF($C155-AI$1&lt;År1,0,AH154*(1-VLOOKUP($A155,[1]Hugst!$R$5:$W$9,MATCH(ROUNDUP((AI$1)/10,0)*10,[1]Hugst!$R$4:$W$4,0))))</f>
        <v>602.03212367175934</v>
      </c>
      <c r="AJ155">
        <f>IF($C155-AJ$1&lt;År1,0,AI154*(1-VLOOKUP($A155,[1]Hugst!$R$5:$W$9,MATCH(ROUNDUP((AJ$1)/10,0)*10,[1]Hugst!$R$4:$W$4,0))))</f>
        <v>0</v>
      </c>
    </row>
    <row r="156" spans="1:36" x14ac:dyDescent="0.55000000000000004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1.0946038612219127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365.97155937437293</v>
      </c>
      <c r="G156">
        <f ca="1">IF($C156-G$1&lt;År1,0,F155*(1-VLOOKUP($A156,[1]Hugst!$R$5:$W$9,MATCH(ROUNDUP((G$1)/10,0)*10,[1]Hugst!$R$4:$W$4,0))))</f>
        <v>365.34721008207845</v>
      </c>
      <c r="H156">
        <f ca="1">IF($C156-H$1&lt;År1,0,G155*(1-VLOOKUP($A156,[1]Hugst!$R$5:$W$9,MATCH(ROUNDUP((H$1)/10,0)*10,[1]Hugst!$R$4:$W$4,0))))</f>
        <v>365.81982773929332</v>
      </c>
      <c r="I156">
        <f ca="1">IF($C156-I$1&lt;År1,0,H155*(1-VLOOKUP($A156,[1]Hugst!$R$5:$W$9,MATCH(ROUNDUP((I$1)/10,0)*10,[1]Hugst!$R$4:$W$4,0))))</f>
        <v>366.29482035960683</v>
      </c>
      <c r="J156">
        <f ca="1">IF($C156-J$1&lt;År1,0,I155*(1-VLOOKUP($A156,[1]Hugst!$R$5:$W$9,MATCH(ROUNDUP((J$1)/10,0)*10,[1]Hugst!$R$4:$W$4,0))))</f>
        <v>366.77219987751897</v>
      </c>
      <c r="K156">
        <f ca="1">IF($C156-K$1&lt;År1,0,J155*(1-VLOOKUP($A156,[1]Hugst!$R$5:$W$9,MATCH(ROUNDUP((K$1)/10,0)*10,[1]Hugst!$R$4:$W$4,0))))</f>
        <v>367.25197828747179</v>
      </c>
      <c r="L156">
        <f ca="1">IF($C156-L$1&lt;År1,0,K155*(1-VLOOKUP($A156,[1]Hugst!$R$5:$W$9,MATCH(ROUNDUP((L$1)/10,0)*10,[1]Hugst!$R$4:$W$4,0))))</f>
        <v>367.73416764421137</v>
      </c>
      <c r="M156">
        <f ca="1">IF($C156-M$1&lt;År1,0,L155*(1-VLOOKUP($A156,[1]Hugst!$R$5:$W$9,MATCH(ROUNDUP((M$1)/10,0)*10,[1]Hugst!$R$4:$W$4,0))))</f>
        <v>368.21878006304479</v>
      </c>
      <c r="N156">
        <f ca="1">IF($C156-N$1&lt;År1,0,M155*(1-VLOOKUP($A156,[1]Hugst!$R$5:$W$9,MATCH(ROUNDUP((N$1)/10,0)*10,[1]Hugst!$R$4:$W$4,0))))</f>
        <v>368.70582772016525</v>
      </c>
      <c r="O156">
        <f ca="1">IF($C156-O$1&lt;År1,0,N155*(1-VLOOKUP($A156,[1]Hugst!$R$5:$W$9,MATCH(ROUNDUP((O$1)/10,0)*10,[1]Hugst!$R$4:$W$4,0))))</f>
        <v>369.19532285294991</v>
      </c>
      <c r="P156">
        <f ca="1">IF($C156-P$1&lt;År1,0,O155*(1-VLOOKUP($A156,[1]Hugst!$R$5:$W$9,MATCH(ROUNDUP((P$1)/10,0)*10,[1]Hugst!$R$4:$W$4,0))))</f>
        <v>369.68727776026782</v>
      </c>
      <c r="Q156">
        <f ca="1">IF($C156-Q$1&lt;År1,0,P155*(1-VLOOKUP($A156,[1]Hugst!$R$5:$W$9,MATCH(ROUNDUP((Q$1)/10,0)*10,[1]Hugst!$R$4:$W$4,0))))</f>
        <v>370.18170480279792</v>
      </c>
      <c r="R156">
        <f ca="1">IF($C156-R$1&lt;År1,0,Q155*(1-VLOOKUP($A156,[1]Hugst!$R$5:$W$9,MATCH(ROUNDUP((R$1)/10,0)*10,[1]Hugst!$R$4:$W$4,0))))</f>
        <v>370.67861640333882</v>
      </c>
      <c r="S156">
        <f ca="1">IF($C156-S$1&lt;År1,0,R155*(1-VLOOKUP($A156,[1]Hugst!$R$5:$W$9,MATCH(ROUNDUP((S$1)/10,0)*10,[1]Hugst!$R$4:$W$4,0))))</f>
        <v>371.17802504708953</v>
      </c>
      <c r="T156">
        <f ca="1">IF($C156-T$1&lt;År1,0,S155*(1-VLOOKUP($A156,[1]Hugst!$R$5:$W$9,MATCH(ROUNDUP((T$1)/10,0)*10,[1]Hugst!$R$4:$W$4,0))))</f>
        <v>371.679943282019</v>
      </c>
      <c r="U156">
        <f ca="1">IF($C156-U$1&lt;År1,0,T155*(1-VLOOKUP($A156,[1]Hugst!$R$5:$W$9,MATCH(ROUNDUP((U$1)/10,0)*10,[1]Hugst!$R$4:$W$4,0))))</f>
        <v>372.18438371913368</v>
      </c>
      <c r="V156">
        <f ca="1">IF($C156-V$1&lt;År1,0,U155*(1-VLOOKUP($A156,[1]Hugst!$R$5:$W$9,MATCH(ROUNDUP((V$1)/10,0)*10,[1]Hugst!$R$4:$W$4,0))))</f>
        <v>372.69135903281409</v>
      </c>
      <c r="W156">
        <f ca="1">IF($C156-W$1&lt;År1,0,V155*(1-VLOOKUP($A156,[1]Hugst!$R$5:$W$9,MATCH(ROUNDUP((W$1)/10,0)*10,[1]Hugst!$R$4:$W$4,0))))</f>
        <v>373.2008819611379</v>
      </c>
      <c r="X156">
        <f ca="1">IF($C156-X$1&lt;År1,0,W155*(1-VLOOKUP($A156,[1]Hugst!$R$5:$W$9,MATCH(ROUNDUP((X$1)/10,0)*10,[1]Hugst!$R$4:$W$4,0))))</f>
        <v>373.71296530619003</v>
      </c>
      <c r="Y156">
        <f ca="1">IF($C156-Y$1&lt;År1,0,X155*(1-VLOOKUP($A156,[1]Hugst!$R$5:$W$9,MATCH(ROUNDUP((Y$1)/10,0)*10,[1]Hugst!$R$4:$W$4,0))))</f>
        <v>374.22762193437535</v>
      </c>
      <c r="Z156">
        <f ca="1">IF($C156-Z$1&lt;År1,0,Y155*(1-VLOOKUP($A156,[1]Hugst!$R$5:$W$9,MATCH(ROUNDUP((Z$1)/10,0)*10,[1]Hugst!$R$4:$W$4,0))))</f>
        <v>596.71456174648119</v>
      </c>
      <c r="AA156">
        <f ca="1">IF($C156-AA$1&lt;År1,0,Z155*(1-VLOOKUP($A156,[1]Hugst!$R$5:$W$9,MATCH(ROUNDUP((AA$1)/10,0)*10,[1]Hugst!$R$4:$W$4,0))))</f>
        <v>597.23440379914155</v>
      </c>
      <c r="AB156">
        <f ca="1">IF($C156-AB$1&lt;År1,0,AA155*(1-VLOOKUP($A156,[1]Hugst!$R$5:$W$9,MATCH(ROUNDUP((AB$1)/10,0)*10,[1]Hugst!$R$4:$W$4,0))))</f>
        <v>597.75685812343352</v>
      </c>
      <c r="AC156">
        <f ca="1">IF($C156-AC$1&lt;År1,0,AB155*(1-VLOOKUP($A156,[1]Hugst!$R$5:$W$9,MATCH(ROUNDUP((AC$1)/10,0)*10,[1]Hugst!$R$4:$W$4,0))))</f>
        <v>598.28193784633402</v>
      </c>
      <c r="AD156">
        <f ca="1">IF($C156-AD$1&lt;År1,0,AC155*(1-VLOOKUP($A156,[1]Hugst!$R$5:$W$9,MATCH(ROUNDUP((AD$1)/10,0)*10,[1]Hugst!$R$4:$W$4,0))))</f>
        <v>598.80965616080709</v>
      </c>
      <c r="AE156">
        <f ca="1">IF($C156-AE$1&lt;År1,0,AD155*(1-VLOOKUP($A156,[1]Hugst!$R$5:$W$9,MATCH(ROUNDUP((AE$1)/10,0)*10,[1]Hugst!$R$4:$W$4,0))))</f>
        <v>599.34002632610714</v>
      </c>
      <c r="AF156">
        <f ca="1">IF($C156-AF$1&lt;År1,0,AE155*(1-VLOOKUP($A156,[1]Hugst!$R$5:$W$9,MATCH(ROUNDUP((AF$1)/10,0)*10,[1]Hugst!$R$4:$W$4,0))))</f>
        <v>599.87306166811823</v>
      </c>
      <c r="AG156">
        <f ca="1">IF($C156-AG$1&lt;År1,0,AF155*(1-VLOOKUP($A156,[1]Hugst!$R$5:$W$9,MATCH(ROUNDUP((AG$1)/10,0)*10,[1]Hugst!$R$4:$W$4,0))))</f>
        <v>600.40877557968702</v>
      </c>
      <c r="AH156">
        <f ca="1">IF($C156-AH$1&lt;År1,0,AG155*(1-VLOOKUP($A156,[1]Hugst!$R$5:$W$9,MATCH(ROUNDUP((AH$1)/10,0)*10,[1]Hugst!$R$4:$W$4,0))))</f>
        <v>600.94718152096243</v>
      </c>
      <c r="AI156">
        <f ca="1">IF($C156-AI$1&lt;År1,0,AH155*(1-VLOOKUP($A156,[1]Hugst!$R$5:$W$9,MATCH(ROUNDUP((AI$1)/10,0)*10,[1]Hugst!$R$4:$W$4,0))))</f>
        <v>601.48829301972796</v>
      </c>
      <c r="AJ156">
        <f ca="1">IF($C156-AJ$1&lt;År1,0,AI155*(1-VLOOKUP($A156,[1]Hugst!$R$5:$W$9,MATCH(ROUNDUP((AJ$1)/10,0)*10,[1]Hugst!$R$4:$W$4,0))))</f>
        <v>600.93751981053799</v>
      </c>
    </row>
    <row r="157" spans="1:36" x14ac:dyDescent="0.55000000000000004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106.75219451005873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55000000000000004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106.59301266208753</v>
      </c>
      <c r="G158">
        <f ca="1">IF($C158-G$1&lt;År1,0,F157*(1-VLOOKUP($A158,[1]Hugst!$R$5:$W$9,MATCH(ROUNDUP((G$1)/10,0)*10,[1]Hugst!$R$4:$W$4,0))))</f>
        <v>106.75219451005873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55000000000000004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106.4346267233563</v>
      </c>
      <c r="G159">
        <f ca="1">IF($C159-G$1&lt;År1,0,F158*(1-VLOOKUP($A159,[1]Hugst!$R$5:$W$9,MATCH(ROUNDUP((G$1)/10,0)*10,[1]Hugst!$R$4:$W$4,0))))</f>
        <v>106.59301266208753</v>
      </c>
      <c r="H159">
        <f ca="1">IF($C159-H$1&lt;År1,0,G158*(1-VLOOKUP($A159,[1]Hugst!$R$5:$W$9,MATCH(ROUNDUP((H$1)/10,0)*10,[1]Hugst!$R$4:$W$4,0))))</f>
        <v>106.75219451005873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55000000000000004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106.27703271431785</v>
      </c>
      <c r="G160">
        <f ca="1">IF($C160-G$1&lt;År1,0,F159*(1-VLOOKUP($A160,[1]Hugst!$R$5:$W$9,MATCH(ROUNDUP((G$1)/10,0)*10,[1]Hugst!$R$4:$W$4,0))))</f>
        <v>106.4346267233563</v>
      </c>
      <c r="H160">
        <f ca="1">IF($C160-H$1&lt;År1,0,G159*(1-VLOOKUP($A160,[1]Hugst!$R$5:$W$9,MATCH(ROUNDUP((H$1)/10,0)*10,[1]Hugst!$R$4:$W$4,0))))</f>
        <v>106.59301266208753</v>
      </c>
      <c r="I160">
        <f ca="1">IF($C160-I$1&lt;År1,0,H159*(1-VLOOKUP($A160,[1]Hugst!$R$5:$W$9,MATCH(ROUNDUP((I$1)/10,0)*10,[1]Hugst!$R$4:$W$4,0))))</f>
        <v>106.75219451005873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55000000000000004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106.12022667532625</v>
      </c>
      <c r="G161">
        <f ca="1">IF($C161-G$1&lt;År1,0,F160*(1-VLOOKUP($A161,[1]Hugst!$R$5:$W$9,MATCH(ROUNDUP((G$1)/10,0)*10,[1]Hugst!$R$4:$W$4,0))))</f>
        <v>106.27703271431785</v>
      </c>
      <c r="H161">
        <f ca="1">IF($C161-H$1&lt;År1,0,G160*(1-VLOOKUP($A161,[1]Hugst!$R$5:$W$9,MATCH(ROUNDUP((H$1)/10,0)*10,[1]Hugst!$R$4:$W$4,0))))</f>
        <v>106.4346267233563</v>
      </c>
      <c r="I161">
        <f ca="1">IF($C161-I$1&lt;År1,0,H160*(1-VLOOKUP($A161,[1]Hugst!$R$5:$W$9,MATCH(ROUNDUP((I$1)/10,0)*10,[1]Hugst!$R$4:$W$4,0))))</f>
        <v>106.59301266208753</v>
      </c>
      <c r="J161">
        <f ca="1">IF($C161-J$1&lt;År1,0,I160*(1-VLOOKUP($A161,[1]Hugst!$R$5:$W$9,MATCH(ROUNDUP((J$1)/10,0)*10,[1]Hugst!$R$4:$W$4,0))))</f>
        <v>106.75219451005873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55000000000000004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105.96420466652819</v>
      </c>
      <c r="G162">
        <f ca="1">IF($C162-G$1&lt;År1,0,F161*(1-VLOOKUP($A162,[1]Hugst!$R$5:$W$9,MATCH(ROUNDUP((G$1)/10,0)*10,[1]Hugst!$R$4:$W$4,0))))</f>
        <v>106.12022667532625</v>
      </c>
      <c r="H162">
        <f ca="1">IF($C162-H$1&lt;År1,0,G161*(1-VLOOKUP($A162,[1]Hugst!$R$5:$W$9,MATCH(ROUNDUP((H$1)/10,0)*10,[1]Hugst!$R$4:$W$4,0))))</f>
        <v>106.27703271431785</v>
      </c>
      <c r="I162">
        <f ca="1">IF($C162-I$1&lt;År1,0,H161*(1-VLOOKUP($A162,[1]Hugst!$R$5:$W$9,MATCH(ROUNDUP((I$1)/10,0)*10,[1]Hugst!$R$4:$W$4,0))))</f>
        <v>106.4346267233563</v>
      </c>
      <c r="J162">
        <f ca="1">IF($C162-J$1&lt;År1,0,I161*(1-VLOOKUP($A162,[1]Hugst!$R$5:$W$9,MATCH(ROUNDUP((J$1)/10,0)*10,[1]Hugst!$R$4:$W$4,0))))</f>
        <v>106.59301266208753</v>
      </c>
      <c r="K162">
        <f ca="1">IF($C162-K$1&lt;År1,0,J161*(1-VLOOKUP($A162,[1]Hugst!$R$5:$W$9,MATCH(ROUNDUP((K$1)/10,0)*10,[1]Hugst!$R$4:$W$4,0))))</f>
        <v>106.75219451005873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55000000000000004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105.80896276777605</v>
      </c>
      <c r="G163">
        <f ca="1">IF($C163-G$1&lt;År1,0,F162*(1-VLOOKUP($A163,[1]Hugst!$R$5:$W$9,MATCH(ROUNDUP((G$1)/10,0)*10,[1]Hugst!$R$4:$W$4,0))))</f>
        <v>105.96420466652819</v>
      </c>
      <c r="H163">
        <f ca="1">IF($C163-H$1&lt;År1,0,G162*(1-VLOOKUP($A163,[1]Hugst!$R$5:$W$9,MATCH(ROUNDUP((H$1)/10,0)*10,[1]Hugst!$R$4:$W$4,0))))</f>
        <v>106.12022667532625</v>
      </c>
      <c r="I163">
        <f ca="1">IF($C163-I$1&lt;År1,0,H162*(1-VLOOKUP($A163,[1]Hugst!$R$5:$W$9,MATCH(ROUNDUP((I$1)/10,0)*10,[1]Hugst!$R$4:$W$4,0))))</f>
        <v>106.27703271431785</v>
      </c>
      <c r="J163">
        <f ca="1">IF($C163-J$1&lt;År1,0,I162*(1-VLOOKUP($A163,[1]Hugst!$R$5:$W$9,MATCH(ROUNDUP((J$1)/10,0)*10,[1]Hugst!$R$4:$W$4,0))))</f>
        <v>106.4346267233563</v>
      </c>
      <c r="K163">
        <f ca="1">IF($C163-K$1&lt;År1,0,J162*(1-VLOOKUP($A163,[1]Hugst!$R$5:$W$9,MATCH(ROUNDUP((K$1)/10,0)*10,[1]Hugst!$R$4:$W$4,0))))</f>
        <v>106.59301266208753</v>
      </c>
      <c r="L163">
        <f ca="1">IF($C163-L$1&lt;År1,0,K162*(1-VLOOKUP($A163,[1]Hugst!$R$5:$W$9,MATCH(ROUNDUP((L$1)/10,0)*10,[1]Hugst!$R$4:$W$4,0))))</f>
        <v>106.75219451005873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55000000000000004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105.65449707851479</v>
      </c>
      <c r="G164">
        <f ca="1">IF($C164-G$1&lt;År1,0,F163*(1-VLOOKUP($A164,[1]Hugst!$R$5:$W$9,MATCH(ROUNDUP((G$1)/10,0)*10,[1]Hugst!$R$4:$W$4,0))))</f>
        <v>105.80896276777605</v>
      </c>
      <c r="H164">
        <f ca="1">IF($C164-H$1&lt;År1,0,G163*(1-VLOOKUP($A164,[1]Hugst!$R$5:$W$9,MATCH(ROUNDUP((H$1)/10,0)*10,[1]Hugst!$R$4:$W$4,0))))</f>
        <v>105.96420466652819</v>
      </c>
      <c r="I164">
        <f ca="1">IF($C164-I$1&lt;År1,0,H163*(1-VLOOKUP($A164,[1]Hugst!$R$5:$W$9,MATCH(ROUNDUP((I$1)/10,0)*10,[1]Hugst!$R$4:$W$4,0))))</f>
        <v>106.12022667532625</v>
      </c>
      <c r="J164">
        <f ca="1">IF($C164-J$1&lt;År1,0,I163*(1-VLOOKUP($A164,[1]Hugst!$R$5:$W$9,MATCH(ROUNDUP((J$1)/10,0)*10,[1]Hugst!$R$4:$W$4,0))))</f>
        <v>106.27703271431785</v>
      </c>
      <c r="K164">
        <f ca="1">IF($C164-K$1&lt;År1,0,J163*(1-VLOOKUP($A164,[1]Hugst!$R$5:$W$9,MATCH(ROUNDUP((K$1)/10,0)*10,[1]Hugst!$R$4:$W$4,0))))</f>
        <v>106.4346267233563</v>
      </c>
      <c r="L164">
        <f ca="1">IF($C164-L$1&lt;År1,0,K163*(1-VLOOKUP($A164,[1]Hugst!$R$5:$W$9,MATCH(ROUNDUP((L$1)/10,0)*10,[1]Hugst!$R$4:$W$4,0))))</f>
        <v>106.59301266208753</v>
      </c>
      <c r="M164">
        <f ca="1">IF($C164-M$1&lt;År1,0,L163*(1-VLOOKUP($A164,[1]Hugst!$R$5:$W$9,MATCH(ROUNDUP((M$1)/10,0)*10,[1]Hugst!$R$4:$W$4,0))))</f>
        <v>106.75219451005873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55000000000000004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105.50080371770207</v>
      </c>
      <c r="G165">
        <f ca="1">IF($C165-G$1&lt;År1,0,F164*(1-VLOOKUP($A165,[1]Hugst!$R$5:$W$9,MATCH(ROUNDUP((G$1)/10,0)*10,[1]Hugst!$R$4:$W$4,0))))</f>
        <v>105.65449707851479</v>
      </c>
      <c r="H165">
        <f ca="1">IF($C165-H$1&lt;År1,0,G164*(1-VLOOKUP($A165,[1]Hugst!$R$5:$W$9,MATCH(ROUNDUP((H$1)/10,0)*10,[1]Hugst!$R$4:$W$4,0))))</f>
        <v>105.80896276777605</v>
      </c>
      <c r="I165">
        <f ca="1">IF($C165-I$1&lt;År1,0,H164*(1-VLOOKUP($A165,[1]Hugst!$R$5:$W$9,MATCH(ROUNDUP((I$1)/10,0)*10,[1]Hugst!$R$4:$W$4,0))))</f>
        <v>105.96420466652819</v>
      </c>
      <c r="J165">
        <f ca="1">IF($C165-J$1&lt;År1,0,I164*(1-VLOOKUP($A165,[1]Hugst!$R$5:$W$9,MATCH(ROUNDUP((J$1)/10,0)*10,[1]Hugst!$R$4:$W$4,0))))</f>
        <v>106.12022667532625</v>
      </c>
      <c r="K165">
        <f ca="1">IF($C165-K$1&lt;År1,0,J164*(1-VLOOKUP($A165,[1]Hugst!$R$5:$W$9,MATCH(ROUNDUP((K$1)/10,0)*10,[1]Hugst!$R$4:$W$4,0))))</f>
        <v>106.27703271431785</v>
      </c>
      <c r="L165">
        <f ca="1">IF($C165-L$1&lt;År1,0,K164*(1-VLOOKUP($A165,[1]Hugst!$R$5:$W$9,MATCH(ROUNDUP((L$1)/10,0)*10,[1]Hugst!$R$4:$W$4,0))))</f>
        <v>106.4346267233563</v>
      </c>
      <c r="M165">
        <f ca="1">IF($C165-M$1&lt;År1,0,L164*(1-VLOOKUP($A165,[1]Hugst!$R$5:$W$9,MATCH(ROUNDUP((M$1)/10,0)*10,[1]Hugst!$R$4:$W$4,0))))</f>
        <v>106.59301266208753</v>
      </c>
      <c r="N165">
        <f ca="1">IF($C165-N$1&lt;År1,0,M164*(1-VLOOKUP($A165,[1]Hugst!$R$5:$W$9,MATCH(ROUNDUP((N$1)/10,0)*10,[1]Hugst!$R$4:$W$4,0))))</f>
        <v>106.75219451005873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55000000000000004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105.34787882369238</v>
      </c>
      <c r="G166">
        <f ca="1">IF($C166-G$1&lt;År1,0,F165*(1-VLOOKUP($A166,[1]Hugst!$R$5:$W$9,MATCH(ROUNDUP((G$1)/10,0)*10,[1]Hugst!$R$4:$W$4,0))))</f>
        <v>105.50080371770207</v>
      </c>
      <c r="H166">
        <f ca="1">IF($C166-H$1&lt;År1,0,G165*(1-VLOOKUP($A166,[1]Hugst!$R$5:$W$9,MATCH(ROUNDUP((H$1)/10,0)*10,[1]Hugst!$R$4:$W$4,0))))</f>
        <v>105.65449707851479</v>
      </c>
      <c r="I166">
        <f ca="1">IF($C166-I$1&lt;År1,0,H165*(1-VLOOKUP($A166,[1]Hugst!$R$5:$W$9,MATCH(ROUNDUP((I$1)/10,0)*10,[1]Hugst!$R$4:$W$4,0))))</f>
        <v>105.80896276777605</v>
      </c>
      <c r="J166">
        <f ca="1">IF($C166-J$1&lt;År1,0,I165*(1-VLOOKUP($A166,[1]Hugst!$R$5:$W$9,MATCH(ROUNDUP((J$1)/10,0)*10,[1]Hugst!$R$4:$W$4,0))))</f>
        <v>105.96420466652819</v>
      </c>
      <c r="K166">
        <f ca="1">IF($C166-K$1&lt;År1,0,J165*(1-VLOOKUP($A166,[1]Hugst!$R$5:$W$9,MATCH(ROUNDUP((K$1)/10,0)*10,[1]Hugst!$R$4:$W$4,0))))</f>
        <v>106.12022667532625</v>
      </c>
      <c r="L166">
        <f ca="1">IF($C166-L$1&lt;År1,0,K165*(1-VLOOKUP($A166,[1]Hugst!$R$5:$W$9,MATCH(ROUNDUP((L$1)/10,0)*10,[1]Hugst!$R$4:$W$4,0))))</f>
        <v>106.27703271431785</v>
      </c>
      <c r="M166">
        <f ca="1">IF($C166-M$1&lt;År1,0,L165*(1-VLOOKUP($A166,[1]Hugst!$R$5:$W$9,MATCH(ROUNDUP((M$1)/10,0)*10,[1]Hugst!$R$4:$W$4,0))))</f>
        <v>106.4346267233563</v>
      </c>
      <c r="N166">
        <f ca="1">IF($C166-N$1&lt;År1,0,M165*(1-VLOOKUP($A166,[1]Hugst!$R$5:$W$9,MATCH(ROUNDUP((N$1)/10,0)*10,[1]Hugst!$R$4:$W$4,0))))</f>
        <v>106.59301266208753</v>
      </c>
      <c r="O166">
        <f ca="1">IF($C166-O$1&lt;År1,0,N165*(1-VLOOKUP($A166,[1]Hugst!$R$5:$W$9,MATCH(ROUNDUP((O$1)/10,0)*10,[1]Hugst!$R$4:$W$4,0))))</f>
        <v>106.75219451005873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55000000000000004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105.19571855415381</v>
      </c>
      <c r="G167">
        <f ca="1">IF($C167-G$1&lt;År1,0,F166*(1-VLOOKUP($A167,[1]Hugst!$R$5:$W$9,MATCH(ROUNDUP((G$1)/10,0)*10,[1]Hugst!$R$4:$W$4,0))))</f>
        <v>105.34787882369238</v>
      </c>
      <c r="H167">
        <f ca="1">IF($C167-H$1&lt;År1,0,G166*(1-VLOOKUP($A167,[1]Hugst!$R$5:$W$9,MATCH(ROUNDUP((H$1)/10,0)*10,[1]Hugst!$R$4:$W$4,0))))</f>
        <v>105.50080371770207</v>
      </c>
      <c r="I167">
        <f ca="1">IF($C167-I$1&lt;År1,0,H166*(1-VLOOKUP($A167,[1]Hugst!$R$5:$W$9,MATCH(ROUNDUP((I$1)/10,0)*10,[1]Hugst!$R$4:$W$4,0))))</f>
        <v>105.65449707851479</v>
      </c>
      <c r="J167">
        <f ca="1">IF($C167-J$1&lt;År1,0,I166*(1-VLOOKUP($A167,[1]Hugst!$R$5:$W$9,MATCH(ROUNDUP((J$1)/10,0)*10,[1]Hugst!$R$4:$W$4,0))))</f>
        <v>105.80896276777605</v>
      </c>
      <c r="K167">
        <f ca="1">IF($C167-K$1&lt;År1,0,J166*(1-VLOOKUP($A167,[1]Hugst!$R$5:$W$9,MATCH(ROUNDUP((K$1)/10,0)*10,[1]Hugst!$R$4:$W$4,0))))</f>
        <v>105.96420466652819</v>
      </c>
      <c r="L167">
        <f ca="1">IF($C167-L$1&lt;År1,0,K166*(1-VLOOKUP($A167,[1]Hugst!$R$5:$W$9,MATCH(ROUNDUP((L$1)/10,0)*10,[1]Hugst!$R$4:$W$4,0))))</f>
        <v>106.12022667532625</v>
      </c>
      <c r="M167">
        <f ca="1">IF($C167-M$1&lt;År1,0,L166*(1-VLOOKUP($A167,[1]Hugst!$R$5:$W$9,MATCH(ROUNDUP((M$1)/10,0)*10,[1]Hugst!$R$4:$W$4,0))))</f>
        <v>106.27703271431785</v>
      </c>
      <c r="N167">
        <f ca="1">IF($C167-N$1&lt;År1,0,M166*(1-VLOOKUP($A167,[1]Hugst!$R$5:$W$9,MATCH(ROUNDUP((N$1)/10,0)*10,[1]Hugst!$R$4:$W$4,0))))</f>
        <v>106.4346267233563</v>
      </c>
      <c r="O167">
        <f ca="1">IF($C167-O$1&lt;År1,0,N166*(1-VLOOKUP($A167,[1]Hugst!$R$5:$W$9,MATCH(ROUNDUP((O$1)/10,0)*10,[1]Hugst!$R$4:$W$4,0))))</f>
        <v>106.59301266208753</v>
      </c>
      <c r="P167">
        <f ca="1">IF($C167-P$1&lt;År1,0,O166*(1-VLOOKUP($A167,[1]Hugst!$R$5:$W$9,MATCH(ROUNDUP((P$1)/10,0)*10,[1]Hugst!$R$4:$W$4,0))))</f>
        <v>106.75219451005873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55000000000000004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71.332197873839419</v>
      </c>
      <c r="G168">
        <f ca="1">IF($C168-G$1&lt;År1,0,F167*(1-VLOOKUP($A168,[1]Hugst!$R$5:$W$9,MATCH(ROUNDUP((G$1)/10,0)*10,[1]Hugst!$R$4:$W$4,0))))</f>
        <v>105.19571855415381</v>
      </c>
      <c r="H168">
        <f ca="1">IF($C168-H$1&lt;År1,0,G167*(1-VLOOKUP($A168,[1]Hugst!$R$5:$W$9,MATCH(ROUNDUP((H$1)/10,0)*10,[1]Hugst!$R$4:$W$4,0))))</f>
        <v>105.34787882369238</v>
      </c>
      <c r="I168">
        <f ca="1">IF($C168-I$1&lt;År1,0,H167*(1-VLOOKUP($A168,[1]Hugst!$R$5:$W$9,MATCH(ROUNDUP((I$1)/10,0)*10,[1]Hugst!$R$4:$W$4,0))))</f>
        <v>105.50080371770207</v>
      </c>
      <c r="J168">
        <f ca="1">IF($C168-J$1&lt;År1,0,I167*(1-VLOOKUP($A168,[1]Hugst!$R$5:$W$9,MATCH(ROUNDUP((J$1)/10,0)*10,[1]Hugst!$R$4:$W$4,0))))</f>
        <v>105.65449707851479</v>
      </c>
      <c r="K168">
        <f ca="1">IF($C168-K$1&lt;År1,0,J167*(1-VLOOKUP($A168,[1]Hugst!$R$5:$W$9,MATCH(ROUNDUP((K$1)/10,0)*10,[1]Hugst!$R$4:$W$4,0))))</f>
        <v>105.80896276777605</v>
      </c>
      <c r="L168">
        <f ca="1">IF($C168-L$1&lt;År1,0,K167*(1-VLOOKUP($A168,[1]Hugst!$R$5:$W$9,MATCH(ROUNDUP((L$1)/10,0)*10,[1]Hugst!$R$4:$W$4,0))))</f>
        <v>105.96420466652819</v>
      </c>
      <c r="M168">
        <f ca="1">IF($C168-M$1&lt;År1,0,L167*(1-VLOOKUP($A168,[1]Hugst!$R$5:$W$9,MATCH(ROUNDUP((M$1)/10,0)*10,[1]Hugst!$R$4:$W$4,0))))</f>
        <v>106.12022667532625</v>
      </c>
      <c r="N168">
        <f ca="1">IF($C168-N$1&lt;År1,0,M167*(1-VLOOKUP($A168,[1]Hugst!$R$5:$W$9,MATCH(ROUNDUP((N$1)/10,0)*10,[1]Hugst!$R$4:$W$4,0))))</f>
        <v>106.27703271431785</v>
      </c>
      <c r="O168">
        <f ca="1">IF($C168-O$1&lt;År1,0,N167*(1-VLOOKUP($A168,[1]Hugst!$R$5:$W$9,MATCH(ROUNDUP((O$1)/10,0)*10,[1]Hugst!$R$4:$W$4,0))))</f>
        <v>106.4346267233563</v>
      </c>
      <c r="P168">
        <f ca="1">IF($C168-P$1&lt;År1,0,O167*(1-VLOOKUP($A168,[1]Hugst!$R$5:$W$9,MATCH(ROUNDUP((P$1)/10,0)*10,[1]Hugst!$R$4:$W$4,0))))</f>
        <v>106.59301266208753</v>
      </c>
      <c r="Q168">
        <f ca="1">IF($C168-Q$1&lt;År1,0,P167*(1-VLOOKUP($A168,[1]Hugst!$R$5:$W$9,MATCH(ROUNDUP((Q$1)/10,0)*10,[1]Hugst!$R$4:$W$4,0))))</f>
        <v>106.75219451005873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55000000000000004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71.181555402989858</v>
      </c>
      <c r="G169">
        <f ca="1">IF($C169-G$1&lt;År1,0,F168*(1-VLOOKUP($A169,[1]Hugst!$R$5:$W$9,MATCH(ROUNDUP((G$1)/10,0)*10,[1]Hugst!$R$4:$W$4,0))))</f>
        <v>71.332197873839419</v>
      </c>
      <c r="H169">
        <f ca="1">IF($C169-H$1&lt;År1,0,G168*(1-VLOOKUP($A169,[1]Hugst!$R$5:$W$9,MATCH(ROUNDUP((H$1)/10,0)*10,[1]Hugst!$R$4:$W$4,0))))</f>
        <v>105.19571855415381</v>
      </c>
      <c r="I169">
        <f ca="1">IF($C169-I$1&lt;År1,0,H168*(1-VLOOKUP($A169,[1]Hugst!$R$5:$W$9,MATCH(ROUNDUP((I$1)/10,0)*10,[1]Hugst!$R$4:$W$4,0))))</f>
        <v>105.34787882369238</v>
      </c>
      <c r="J169">
        <f ca="1">IF($C169-J$1&lt;År1,0,I168*(1-VLOOKUP($A169,[1]Hugst!$R$5:$W$9,MATCH(ROUNDUP((J$1)/10,0)*10,[1]Hugst!$R$4:$W$4,0))))</f>
        <v>105.50080371770207</v>
      </c>
      <c r="K169">
        <f ca="1">IF($C169-K$1&lt;År1,0,J168*(1-VLOOKUP($A169,[1]Hugst!$R$5:$W$9,MATCH(ROUNDUP((K$1)/10,0)*10,[1]Hugst!$R$4:$W$4,0))))</f>
        <v>105.65449707851479</v>
      </c>
      <c r="L169">
        <f ca="1">IF($C169-L$1&lt;År1,0,K168*(1-VLOOKUP($A169,[1]Hugst!$R$5:$W$9,MATCH(ROUNDUP((L$1)/10,0)*10,[1]Hugst!$R$4:$W$4,0))))</f>
        <v>105.80896276777605</v>
      </c>
      <c r="M169">
        <f ca="1">IF($C169-M$1&lt;År1,0,L168*(1-VLOOKUP($A169,[1]Hugst!$R$5:$W$9,MATCH(ROUNDUP((M$1)/10,0)*10,[1]Hugst!$R$4:$W$4,0))))</f>
        <v>105.96420466652819</v>
      </c>
      <c r="N169">
        <f ca="1">IF($C169-N$1&lt;År1,0,M168*(1-VLOOKUP($A169,[1]Hugst!$R$5:$W$9,MATCH(ROUNDUP((N$1)/10,0)*10,[1]Hugst!$R$4:$W$4,0))))</f>
        <v>106.12022667532625</v>
      </c>
      <c r="O169">
        <f ca="1">IF($C169-O$1&lt;År1,0,N168*(1-VLOOKUP($A169,[1]Hugst!$R$5:$W$9,MATCH(ROUNDUP((O$1)/10,0)*10,[1]Hugst!$R$4:$W$4,0))))</f>
        <v>106.27703271431785</v>
      </c>
      <c r="P169">
        <f ca="1">IF($C169-P$1&lt;År1,0,O168*(1-VLOOKUP($A169,[1]Hugst!$R$5:$W$9,MATCH(ROUNDUP((P$1)/10,0)*10,[1]Hugst!$R$4:$W$4,0))))</f>
        <v>106.4346267233563</v>
      </c>
      <c r="Q169">
        <f ca="1">IF($C169-Q$1&lt;År1,0,P168*(1-VLOOKUP($A169,[1]Hugst!$R$5:$W$9,MATCH(ROUNDUP((Q$1)/10,0)*10,[1]Hugst!$R$4:$W$4,0))))</f>
        <v>106.59301266208753</v>
      </c>
      <c r="R169">
        <f ca="1">IF($C169-R$1&lt;År1,0,Q168*(1-VLOOKUP($A169,[1]Hugst!$R$5:$W$9,MATCH(ROUNDUP((R$1)/10,0)*10,[1]Hugst!$R$4:$W$4,0))))</f>
        <v>106.75219451005873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55000000000000004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71.031666144492959</v>
      </c>
      <c r="G170">
        <f ca="1">IF($C170-G$1&lt;År1,0,F169*(1-VLOOKUP($A170,[1]Hugst!$R$5:$W$9,MATCH(ROUNDUP((G$1)/10,0)*10,[1]Hugst!$R$4:$W$4,0))))</f>
        <v>71.181555402989858</v>
      </c>
      <c r="H170">
        <f ca="1">IF($C170-H$1&lt;År1,0,G169*(1-VLOOKUP($A170,[1]Hugst!$R$5:$W$9,MATCH(ROUNDUP((H$1)/10,0)*10,[1]Hugst!$R$4:$W$4,0))))</f>
        <v>71.332197873839419</v>
      </c>
      <c r="I170">
        <f ca="1">IF($C170-I$1&lt;År1,0,H169*(1-VLOOKUP($A170,[1]Hugst!$R$5:$W$9,MATCH(ROUNDUP((I$1)/10,0)*10,[1]Hugst!$R$4:$W$4,0))))</f>
        <v>105.19571855415381</v>
      </c>
      <c r="J170">
        <f ca="1">IF($C170-J$1&lt;År1,0,I169*(1-VLOOKUP($A170,[1]Hugst!$R$5:$W$9,MATCH(ROUNDUP((J$1)/10,0)*10,[1]Hugst!$R$4:$W$4,0))))</f>
        <v>105.34787882369238</v>
      </c>
      <c r="K170">
        <f ca="1">IF($C170-K$1&lt;År1,0,J169*(1-VLOOKUP($A170,[1]Hugst!$R$5:$W$9,MATCH(ROUNDUP((K$1)/10,0)*10,[1]Hugst!$R$4:$W$4,0))))</f>
        <v>105.50080371770207</v>
      </c>
      <c r="L170">
        <f ca="1">IF($C170-L$1&lt;År1,0,K169*(1-VLOOKUP($A170,[1]Hugst!$R$5:$W$9,MATCH(ROUNDUP((L$1)/10,0)*10,[1]Hugst!$R$4:$W$4,0))))</f>
        <v>105.65449707851479</v>
      </c>
      <c r="M170">
        <f ca="1">IF($C170-M$1&lt;År1,0,L169*(1-VLOOKUP($A170,[1]Hugst!$R$5:$W$9,MATCH(ROUNDUP((M$1)/10,0)*10,[1]Hugst!$R$4:$W$4,0))))</f>
        <v>105.80896276777605</v>
      </c>
      <c r="N170">
        <f ca="1">IF($C170-N$1&lt;År1,0,M169*(1-VLOOKUP($A170,[1]Hugst!$R$5:$W$9,MATCH(ROUNDUP((N$1)/10,0)*10,[1]Hugst!$R$4:$W$4,0))))</f>
        <v>105.96420466652819</v>
      </c>
      <c r="O170">
        <f ca="1">IF($C170-O$1&lt;År1,0,N169*(1-VLOOKUP($A170,[1]Hugst!$R$5:$W$9,MATCH(ROUNDUP((O$1)/10,0)*10,[1]Hugst!$R$4:$W$4,0))))</f>
        <v>106.12022667532625</v>
      </c>
      <c r="P170">
        <f ca="1">IF($C170-P$1&lt;År1,0,O169*(1-VLOOKUP($A170,[1]Hugst!$R$5:$W$9,MATCH(ROUNDUP((P$1)/10,0)*10,[1]Hugst!$R$4:$W$4,0))))</f>
        <v>106.27703271431785</v>
      </c>
      <c r="Q170">
        <f ca="1">IF($C170-Q$1&lt;År1,0,P169*(1-VLOOKUP($A170,[1]Hugst!$R$5:$W$9,MATCH(ROUNDUP((Q$1)/10,0)*10,[1]Hugst!$R$4:$W$4,0))))</f>
        <v>106.4346267233563</v>
      </c>
      <c r="R170">
        <f ca="1">IF($C170-R$1&lt;År1,0,Q169*(1-VLOOKUP($A170,[1]Hugst!$R$5:$W$9,MATCH(ROUNDUP((R$1)/10,0)*10,[1]Hugst!$R$4:$W$4,0))))</f>
        <v>106.59301266208753</v>
      </c>
      <c r="S170">
        <f ca="1">IF($C170-S$1&lt;År1,0,R169*(1-VLOOKUP($A170,[1]Hugst!$R$5:$W$9,MATCH(ROUNDUP((S$1)/10,0)*10,[1]Hugst!$R$4:$W$4,0))))</f>
        <v>106.75219451005873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55000000000000004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70.882526332289189</v>
      </c>
      <c r="G171">
        <f ca="1">IF($C171-G$1&lt;År1,0,F170*(1-VLOOKUP($A171,[1]Hugst!$R$5:$W$9,MATCH(ROUNDUP((G$1)/10,0)*10,[1]Hugst!$R$4:$W$4,0))))</f>
        <v>71.031666144492959</v>
      </c>
      <c r="H171">
        <f ca="1">IF($C171-H$1&lt;År1,0,G170*(1-VLOOKUP($A171,[1]Hugst!$R$5:$W$9,MATCH(ROUNDUP((H$1)/10,0)*10,[1]Hugst!$R$4:$W$4,0))))</f>
        <v>71.181555402989858</v>
      </c>
      <c r="I171">
        <f ca="1">IF($C171-I$1&lt;År1,0,H170*(1-VLOOKUP($A171,[1]Hugst!$R$5:$W$9,MATCH(ROUNDUP((I$1)/10,0)*10,[1]Hugst!$R$4:$W$4,0))))</f>
        <v>71.332197873839419</v>
      </c>
      <c r="J171">
        <f ca="1">IF($C171-J$1&lt;År1,0,I170*(1-VLOOKUP($A171,[1]Hugst!$R$5:$W$9,MATCH(ROUNDUP((J$1)/10,0)*10,[1]Hugst!$R$4:$W$4,0))))</f>
        <v>105.19571855415381</v>
      </c>
      <c r="K171">
        <f ca="1">IF($C171-K$1&lt;År1,0,J170*(1-VLOOKUP($A171,[1]Hugst!$R$5:$W$9,MATCH(ROUNDUP((K$1)/10,0)*10,[1]Hugst!$R$4:$W$4,0))))</f>
        <v>105.34787882369238</v>
      </c>
      <c r="L171">
        <f ca="1">IF($C171-L$1&lt;År1,0,K170*(1-VLOOKUP($A171,[1]Hugst!$R$5:$W$9,MATCH(ROUNDUP((L$1)/10,0)*10,[1]Hugst!$R$4:$W$4,0))))</f>
        <v>105.50080371770207</v>
      </c>
      <c r="M171">
        <f ca="1">IF($C171-M$1&lt;År1,0,L170*(1-VLOOKUP($A171,[1]Hugst!$R$5:$W$9,MATCH(ROUNDUP((M$1)/10,0)*10,[1]Hugst!$R$4:$W$4,0))))</f>
        <v>105.65449707851479</v>
      </c>
      <c r="N171">
        <f ca="1">IF($C171-N$1&lt;År1,0,M170*(1-VLOOKUP($A171,[1]Hugst!$R$5:$W$9,MATCH(ROUNDUP((N$1)/10,0)*10,[1]Hugst!$R$4:$W$4,0))))</f>
        <v>105.80896276777605</v>
      </c>
      <c r="O171">
        <f ca="1">IF($C171-O$1&lt;År1,0,N170*(1-VLOOKUP($A171,[1]Hugst!$R$5:$W$9,MATCH(ROUNDUP((O$1)/10,0)*10,[1]Hugst!$R$4:$W$4,0))))</f>
        <v>105.96420466652819</v>
      </c>
      <c r="P171">
        <f ca="1">IF($C171-P$1&lt;År1,0,O170*(1-VLOOKUP($A171,[1]Hugst!$R$5:$W$9,MATCH(ROUNDUP((P$1)/10,0)*10,[1]Hugst!$R$4:$W$4,0))))</f>
        <v>106.12022667532625</v>
      </c>
      <c r="Q171">
        <f ca="1">IF($C171-Q$1&lt;År1,0,P170*(1-VLOOKUP($A171,[1]Hugst!$R$5:$W$9,MATCH(ROUNDUP((Q$1)/10,0)*10,[1]Hugst!$R$4:$W$4,0))))</f>
        <v>106.27703271431785</v>
      </c>
      <c r="R171">
        <f ca="1">IF($C171-R$1&lt;År1,0,Q170*(1-VLOOKUP($A171,[1]Hugst!$R$5:$W$9,MATCH(ROUNDUP((R$1)/10,0)*10,[1]Hugst!$R$4:$W$4,0))))</f>
        <v>106.4346267233563</v>
      </c>
      <c r="S171">
        <f ca="1">IF($C171-S$1&lt;År1,0,R170*(1-VLOOKUP($A171,[1]Hugst!$R$5:$W$9,MATCH(ROUNDUP((S$1)/10,0)*10,[1]Hugst!$R$4:$W$4,0))))</f>
        <v>106.59301266208753</v>
      </c>
      <c r="T171">
        <f ca="1">IF($C171-T$1&lt;År1,0,S170*(1-VLOOKUP($A171,[1]Hugst!$R$5:$W$9,MATCH(ROUNDUP((T$1)/10,0)*10,[1]Hugst!$R$4:$W$4,0))))</f>
        <v>106.75219451005873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55000000000000004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70.734132219146801</v>
      </c>
      <c r="G172">
        <f ca="1">IF($C172-G$1&lt;År1,0,F171*(1-VLOOKUP($A172,[1]Hugst!$R$5:$W$9,MATCH(ROUNDUP((G$1)/10,0)*10,[1]Hugst!$R$4:$W$4,0))))</f>
        <v>70.882526332289189</v>
      </c>
      <c r="H172">
        <f ca="1">IF($C172-H$1&lt;År1,0,G171*(1-VLOOKUP($A172,[1]Hugst!$R$5:$W$9,MATCH(ROUNDUP((H$1)/10,0)*10,[1]Hugst!$R$4:$W$4,0))))</f>
        <v>71.031666144492959</v>
      </c>
      <c r="I172">
        <f ca="1">IF($C172-I$1&lt;År1,0,H171*(1-VLOOKUP($A172,[1]Hugst!$R$5:$W$9,MATCH(ROUNDUP((I$1)/10,0)*10,[1]Hugst!$R$4:$W$4,0))))</f>
        <v>71.181555402989858</v>
      </c>
      <c r="J172">
        <f ca="1">IF($C172-J$1&lt;År1,0,I171*(1-VLOOKUP($A172,[1]Hugst!$R$5:$W$9,MATCH(ROUNDUP((J$1)/10,0)*10,[1]Hugst!$R$4:$W$4,0))))</f>
        <v>71.332197873839419</v>
      </c>
      <c r="K172">
        <f ca="1">IF($C172-K$1&lt;År1,0,J171*(1-VLOOKUP($A172,[1]Hugst!$R$5:$W$9,MATCH(ROUNDUP((K$1)/10,0)*10,[1]Hugst!$R$4:$W$4,0))))</f>
        <v>105.19571855415381</v>
      </c>
      <c r="L172">
        <f ca="1">IF($C172-L$1&lt;År1,0,K171*(1-VLOOKUP($A172,[1]Hugst!$R$5:$W$9,MATCH(ROUNDUP((L$1)/10,0)*10,[1]Hugst!$R$4:$W$4,0))))</f>
        <v>105.34787882369238</v>
      </c>
      <c r="M172">
        <f ca="1">IF($C172-M$1&lt;År1,0,L171*(1-VLOOKUP($A172,[1]Hugst!$R$5:$W$9,MATCH(ROUNDUP((M$1)/10,0)*10,[1]Hugst!$R$4:$W$4,0))))</f>
        <v>105.50080371770207</v>
      </c>
      <c r="N172">
        <f ca="1">IF($C172-N$1&lt;År1,0,M171*(1-VLOOKUP($A172,[1]Hugst!$R$5:$W$9,MATCH(ROUNDUP((N$1)/10,0)*10,[1]Hugst!$R$4:$W$4,0))))</f>
        <v>105.65449707851479</v>
      </c>
      <c r="O172">
        <f ca="1">IF($C172-O$1&lt;År1,0,N171*(1-VLOOKUP($A172,[1]Hugst!$R$5:$W$9,MATCH(ROUNDUP((O$1)/10,0)*10,[1]Hugst!$R$4:$W$4,0))))</f>
        <v>105.80896276777605</v>
      </c>
      <c r="P172">
        <f ca="1">IF($C172-P$1&lt;År1,0,O171*(1-VLOOKUP($A172,[1]Hugst!$R$5:$W$9,MATCH(ROUNDUP((P$1)/10,0)*10,[1]Hugst!$R$4:$W$4,0))))</f>
        <v>105.96420466652819</v>
      </c>
      <c r="Q172">
        <f ca="1">IF($C172-Q$1&lt;År1,0,P171*(1-VLOOKUP($A172,[1]Hugst!$R$5:$W$9,MATCH(ROUNDUP((Q$1)/10,0)*10,[1]Hugst!$R$4:$W$4,0))))</f>
        <v>106.12022667532625</v>
      </c>
      <c r="R172">
        <f ca="1">IF($C172-R$1&lt;År1,0,Q171*(1-VLOOKUP($A172,[1]Hugst!$R$5:$W$9,MATCH(ROUNDUP((R$1)/10,0)*10,[1]Hugst!$R$4:$W$4,0))))</f>
        <v>106.27703271431785</v>
      </c>
      <c r="S172">
        <f ca="1">IF($C172-S$1&lt;År1,0,R171*(1-VLOOKUP($A172,[1]Hugst!$R$5:$W$9,MATCH(ROUNDUP((S$1)/10,0)*10,[1]Hugst!$R$4:$W$4,0))))</f>
        <v>106.4346267233563</v>
      </c>
      <c r="T172">
        <f ca="1">IF($C172-T$1&lt;År1,0,S171*(1-VLOOKUP($A172,[1]Hugst!$R$5:$W$9,MATCH(ROUNDUP((T$1)/10,0)*10,[1]Hugst!$R$4:$W$4,0))))</f>
        <v>106.59301266208753</v>
      </c>
      <c r="U172">
        <f ca="1">IF($C172-U$1&lt;År1,0,T171*(1-VLOOKUP($A172,[1]Hugst!$R$5:$W$9,MATCH(ROUNDUP((U$1)/10,0)*10,[1]Hugst!$R$4:$W$4,0))))</f>
        <v>106.75219451005873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55000000000000004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70.586480076568961</v>
      </c>
      <c r="G173">
        <f ca="1">IF($C173-G$1&lt;År1,0,F172*(1-VLOOKUP($A173,[1]Hugst!$R$5:$W$9,MATCH(ROUNDUP((G$1)/10,0)*10,[1]Hugst!$R$4:$W$4,0))))</f>
        <v>70.734132219146801</v>
      </c>
      <c r="H173">
        <f ca="1">IF($C173-H$1&lt;År1,0,G172*(1-VLOOKUP($A173,[1]Hugst!$R$5:$W$9,MATCH(ROUNDUP((H$1)/10,0)*10,[1]Hugst!$R$4:$W$4,0))))</f>
        <v>70.882526332289189</v>
      </c>
      <c r="I173">
        <f ca="1">IF($C173-I$1&lt;År1,0,H172*(1-VLOOKUP($A173,[1]Hugst!$R$5:$W$9,MATCH(ROUNDUP((I$1)/10,0)*10,[1]Hugst!$R$4:$W$4,0))))</f>
        <v>71.031666144492959</v>
      </c>
      <c r="J173">
        <f ca="1">IF($C173-J$1&lt;År1,0,I172*(1-VLOOKUP($A173,[1]Hugst!$R$5:$W$9,MATCH(ROUNDUP((J$1)/10,0)*10,[1]Hugst!$R$4:$W$4,0))))</f>
        <v>71.181555402989858</v>
      </c>
      <c r="K173">
        <f ca="1">IF($C173-K$1&lt;År1,0,J172*(1-VLOOKUP($A173,[1]Hugst!$R$5:$W$9,MATCH(ROUNDUP((K$1)/10,0)*10,[1]Hugst!$R$4:$W$4,0))))</f>
        <v>71.332197873839419</v>
      </c>
      <c r="L173">
        <f ca="1">IF($C173-L$1&lt;År1,0,K172*(1-VLOOKUP($A173,[1]Hugst!$R$5:$W$9,MATCH(ROUNDUP((L$1)/10,0)*10,[1]Hugst!$R$4:$W$4,0))))</f>
        <v>105.19571855415381</v>
      </c>
      <c r="M173">
        <f ca="1">IF($C173-M$1&lt;År1,0,L172*(1-VLOOKUP($A173,[1]Hugst!$R$5:$W$9,MATCH(ROUNDUP((M$1)/10,0)*10,[1]Hugst!$R$4:$W$4,0))))</f>
        <v>105.34787882369238</v>
      </c>
      <c r="N173">
        <f ca="1">IF($C173-N$1&lt;År1,0,M172*(1-VLOOKUP($A173,[1]Hugst!$R$5:$W$9,MATCH(ROUNDUP((N$1)/10,0)*10,[1]Hugst!$R$4:$W$4,0))))</f>
        <v>105.50080371770207</v>
      </c>
      <c r="O173">
        <f ca="1">IF($C173-O$1&lt;År1,0,N172*(1-VLOOKUP($A173,[1]Hugst!$R$5:$W$9,MATCH(ROUNDUP((O$1)/10,0)*10,[1]Hugst!$R$4:$W$4,0))))</f>
        <v>105.65449707851479</v>
      </c>
      <c r="P173">
        <f ca="1">IF($C173-P$1&lt;År1,0,O172*(1-VLOOKUP($A173,[1]Hugst!$R$5:$W$9,MATCH(ROUNDUP((P$1)/10,0)*10,[1]Hugst!$R$4:$W$4,0))))</f>
        <v>105.80896276777605</v>
      </c>
      <c r="Q173">
        <f ca="1">IF($C173-Q$1&lt;År1,0,P172*(1-VLOOKUP($A173,[1]Hugst!$R$5:$W$9,MATCH(ROUNDUP((Q$1)/10,0)*10,[1]Hugst!$R$4:$W$4,0))))</f>
        <v>105.96420466652819</v>
      </c>
      <c r="R173">
        <f ca="1">IF($C173-R$1&lt;År1,0,Q172*(1-VLOOKUP($A173,[1]Hugst!$R$5:$W$9,MATCH(ROUNDUP((R$1)/10,0)*10,[1]Hugst!$R$4:$W$4,0))))</f>
        <v>106.12022667532625</v>
      </c>
      <c r="S173">
        <f ca="1">IF($C173-S$1&lt;År1,0,R172*(1-VLOOKUP($A173,[1]Hugst!$R$5:$W$9,MATCH(ROUNDUP((S$1)/10,0)*10,[1]Hugst!$R$4:$W$4,0))))</f>
        <v>106.27703271431785</v>
      </c>
      <c r="T173">
        <f ca="1">IF($C173-T$1&lt;År1,0,S172*(1-VLOOKUP($A173,[1]Hugst!$R$5:$W$9,MATCH(ROUNDUP((T$1)/10,0)*10,[1]Hugst!$R$4:$W$4,0))))</f>
        <v>106.4346267233563</v>
      </c>
      <c r="U173">
        <f ca="1">IF($C173-U$1&lt;År1,0,T172*(1-VLOOKUP($A173,[1]Hugst!$R$5:$W$9,MATCH(ROUNDUP((U$1)/10,0)*10,[1]Hugst!$R$4:$W$4,0))))</f>
        <v>106.59301266208753</v>
      </c>
      <c r="V173">
        <f ca="1">IF($C173-V$1&lt;År1,0,U172*(1-VLOOKUP($A173,[1]Hugst!$R$5:$W$9,MATCH(ROUNDUP((V$1)/10,0)*10,[1]Hugst!$R$4:$W$4,0))))</f>
        <v>106.75219451005873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55000000000000004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70.439566194704895</v>
      </c>
      <c r="G174">
        <f ca="1">IF($C174-G$1&lt;År1,0,F173*(1-VLOOKUP($A174,[1]Hugst!$R$5:$W$9,MATCH(ROUNDUP((G$1)/10,0)*10,[1]Hugst!$R$4:$W$4,0))))</f>
        <v>70.586480076568961</v>
      </c>
      <c r="H174">
        <f ca="1">IF($C174-H$1&lt;År1,0,G173*(1-VLOOKUP($A174,[1]Hugst!$R$5:$W$9,MATCH(ROUNDUP((H$1)/10,0)*10,[1]Hugst!$R$4:$W$4,0))))</f>
        <v>70.734132219146801</v>
      </c>
      <c r="I174">
        <f ca="1">IF($C174-I$1&lt;År1,0,H173*(1-VLOOKUP($A174,[1]Hugst!$R$5:$W$9,MATCH(ROUNDUP((I$1)/10,0)*10,[1]Hugst!$R$4:$W$4,0))))</f>
        <v>70.882526332289189</v>
      </c>
      <c r="J174">
        <f ca="1">IF($C174-J$1&lt;År1,0,I173*(1-VLOOKUP($A174,[1]Hugst!$R$5:$W$9,MATCH(ROUNDUP((J$1)/10,0)*10,[1]Hugst!$R$4:$W$4,0))))</f>
        <v>71.031666144492959</v>
      </c>
      <c r="K174">
        <f ca="1">IF($C174-K$1&lt;År1,0,J173*(1-VLOOKUP($A174,[1]Hugst!$R$5:$W$9,MATCH(ROUNDUP((K$1)/10,0)*10,[1]Hugst!$R$4:$W$4,0))))</f>
        <v>71.181555402989858</v>
      </c>
      <c r="L174">
        <f ca="1">IF($C174-L$1&lt;År1,0,K173*(1-VLOOKUP($A174,[1]Hugst!$R$5:$W$9,MATCH(ROUNDUP((L$1)/10,0)*10,[1]Hugst!$R$4:$W$4,0))))</f>
        <v>71.332197873839419</v>
      </c>
      <c r="M174">
        <f ca="1">IF($C174-M$1&lt;År1,0,L173*(1-VLOOKUP($A174,[1]Hugst!$R$5:$W$9,MATCH(ROUNDUP((M$1)/10,0)*10,[1]Hugst!$R$4:$W$4,0))))</f>
        <v>105.19571855415381</v>
      </c>
      <c r="N174">
        <f ca="1">IF($C174-N$1&lt;År1,0,M173*(1-VLOOKUP($A174,[1]Hugst!$R$5:$W$9,MATCH(ROUNDUP((N$1)/10,0)*10,[1]Hugst!$R$4:$W$4,0))))</f>
        <v>105.34787882369238</v>
      </c>
      <c r="O174">
        <f ca="1">IF($C174-O$1&lt;År1,0,N173*(1-VLOOKUP($A174,[1]Hugst!$R$5:$W$9,MATCH(ROUNDUP((O$1)/10,0)*10,[1]Hugst!$R$4:$W$4,0))))</f>
        <v>105.50080371770207</v>
      </c>
      <c r="P174">
        <f ca="1">IF($C174-P$1&lt;År1,0,O173*(1-VLOOKUP($A174,[1]Hugst!$R$5:$W$9,MATCH(ROUNDUP((P$1)/10,0)*10,[1]Hugst!$R$4:$W$4,0))))</f>
        <v>105.65449707851479</v>
      </c>
      <c r="Q174">
        <f ca="1">IF($C174-Q$1&lt;År1,0,P173*(1-VLOOKUP($A174,[1]Hugst!$R$5:$W$9,MATCH(ROUNDUP((Q$1)/10,0)*10,[1]Hugst!$R$4:$W$4,0))))</f>
        <v>105.80896276777605</v>
      </c>
      <c r="R174">
        <f ca="1">IF($C174-R$1&lt;År1,0,Q173*(1-VLOOKUP($A174,[1]Hugst!$R$5:$W$9,MATCH(ROUNDUP((R$1)/10,0)*10,[1]Hugst!$R$4:$W$4,0))))</f>
        <v>105.96420466652819</v>
      </c>
      <c r="S174">
        <f ca="1">IF($C174-S$1&lt;År1,0,R173*(1-VLOOKUP($A174,[1]Hugst!$R$5:$W$9,MATCH(ROUNDUP((S$1)/10,0)*10,[1]Hugst!$R$4:$W$4,0))))</f>
        <v>106.12022667532625</v>
      </c>
      <c r="T174">
        <f ca="1">IF($C174-T$1&lt;År1,0,S173*(1-VLOOKUP($A174,[1]Hugst!$R$5:$W$9,MATCH(ROUNDUP((T$1)/10,0)*10,[1]Hugst!$R$4:$W$4,0))))</f>
        <v>106.27703271431785</v>
      </c>
      <c r="U174">
        <f ca="1">IF($C174-U$1&lt;År1,0,T173*(1-VLOOKUP($A174,[1]Hugst!$R$5:$W$9,MATCH(ROUNDUP((U$1)/10,0)*10,[1]Hugst!$R$4:$W$4,0))))</f>
        <v>106.4346267233563</v>
      </c>
      <c r="V174">
        <f ca="1">IF($C174-V$1&lt;År1,0,U173*(1-VLOOKUP($A174,[1]Hugst!$R$5:$W$9,MATCH(ROUNDUP((V$1)/10,0)*10,[1]Hugst!$R$4:$W$4,0))))</f>
        <v>106.59301266208753</v>
      </c>
      <c r="W174">
        <f ca="1">IF($C174-W$1&lt;År1,0,V173*(1-VLOOKUP($A174,[1]Hugst!$R$5:$W$9,MATCH(ROUNDUP((W$1)/10,0)*10,[1]Hugst!$R$4:$W$4,0))))</f>
        <v>106.75219451005873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55000000000000004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70.293386882250417</v>
      </c>
      <c r="G175">
        <f ca="1">IF($C175-G$1&lt;År1,0,F174*(1-VLOOKUP($A175,[1]Hugst!$R$5:$W$9,MATCH(ROUNDUP((G$1)/10,0)*10,[1]Hugst!$R$4:$W$4,0))))</f>
        <v>70.439566194704895</v>
      </c>
      <c r="H175">
        <f ca="1">IF($C175-H$1&lt;År1,0,G174*(1-VLOOKUP($A175,[1]Hugst!$R$5:$W$9,MATCH(ROUNDUP((H$1)/10,0)*10,[1]Hugst!$R$4:$W$4,0))))</f>
        <v>70.586480076568961</v>
      </c>
      <c r="I175">
        <f ca="1">IF($C175-I$1&lt;År1,0,H174*(1-VLOOKUP($A175,[1]Hugst!$R$5:$W$9,MATCH(ROUNDUP((I$1)/10,0)*10,[1]Hugst!$R$4:$W$4,0))))</f>
        <v>70.734132219146801</v>
      </c>
      <c r="J175">
        <f ca="1">IF($C175-J$1&lt;År1,0,I174*(1-VLOOKUP($A175,[1]Hugst!$R$5:$W$9,MATCH(ROUNDUP((J$1)/10,0)*10,[1]Hugst!$R$4:$W$4,0))))</f>
        <v>70.882526332289189</v>
      </c>
      <c r="K175">
        <f ca="1">IF($C175-K$1&lt;År1,0,J174*(1-VLOOKUP($A175,[1]Hugst!$R$5:$W$9,MATCH(ROUNDUP((K$1)/10,0)*10,[1]Hugst!$R$4:$W$4,0))))</f>
        <v>71.031666144492959</v>
      </c>
      <c r="L175">
        <f ca="1">IF($C175-L$1&lt;År1,0,K174*(1-VLOOKUP($A175,[1]Hugst!$R$5:$W$9,MATCH(ROUNDUP((L$1)/10,0)*10,[1]Hugst!$R$4:$W$4,0))))</f>
        <v>71.181555402989858</v>
      </c>
      <c r="M175">
        <f ca="1">IF($C175-M$1&lt;År1,0,L174*(1-VLOOKUP($A175,[1]Hugst!$R$5:$W$9,MATCH(ROUNDUP((M$1)/10,0)*10,[1]Hugst!$R$4:$W$4,0))))</f>
        <v>71.332197873839419</v>
      </c>
      <c r="N175">
        <f ca="1">IF($C175-N$1&lt;År1,0,M174*(1-VLOOKUP($A175,[1]Hugst!$R$5:$W$9,MATCH(ROUNDUP((N$1)/10,0)*10,[1]Hugst!$R$4:$W$4,0))))</f>
        <v>105.19571855415381</v>
      </c>
      <c r="O175">
        <f ca="1">IF($C175-O$1&lt;År1,0,N174*(1-VLOOKUP($A175,[1]Hugst!$R$5:$W$9,MATCH(ROUNDUP((O$1)/10,0)*10,[1]Hugst!$R$4:$W$4,0))))</f>
        <v>105.34787882369238</v>
      </c>
      <c r="P175">
        <f ca="1">IF($C175-P$1&lt;År1,0,O174*(1-VLOOKUP($A175,[1]Hugst!$R$5:$W$9,MATCH(ROUNDUP((P$1)/10,0)*10,[1]Hugst!$R$4:$W$4,0))))</f>
        <v>105.50080371770207</v>
      </c>
      <c r="Q175">
        <f ca="1">IF($C175-Q$1&lt;År1,0,P174*(1-VLOOKUP($A175,[1]Hugst!$R$5:$W$9,MATCH(ROUNDUP((Q$1)/10,0)*10,[1]Hugst!$R$4:$W$4,0))))</f>
        <v>105.65449707851479</v>
      </c>
      <c r="R175">
        <f ca="1">IF($C175-R$1&lt;År1,0,Q174*(1-VLOOKUP($A175,[1]Hugst!$R$5:$W$9,MATCH(ROUNDUP((R$1)/10,0)*10,[1]Hugst!$R$4:$W$4,0))))</f>
        <v>105.80896276777605</v>
      </c>
      <c r="S175">
        <f ca="1">IF($C175-S$1&lt;År1,0,R174*(1-VLOOKUP($A175,[1]Hugst!$R$5:$W$9,MATCH(ROUNDUP((S$1)/10,0)*10,[1]Hugst!$R$4:$W$4,0))))</f>
        <v>105.96420466652819</v>
      </c>
      <c r="T175">
        <f ca="1">IF($C175-T$1&lt;År1,0,S174*(1-VLOOKUP($A175,[1]Hugst!$R$5:$W$9,MATCH(ROUNDUP((T$1)/10,0)*10,[1]Hugst!$R$4:$W$4,0))))</f>
        <v>106.12022667532625</v>
      </c>
      <c r="U175">
        <f ca="1">IF($C175-U$1&lt;År1,0,T174*(1-VLOOKUP($A175,[1]Hugst!$R$5:$W$9,MATCH(ROUNDUP((U$1)/10,0)*10,[1]Hugst!$R$4:$W$4,0))))</f>
        <v>106.27703271431785</v>
      </c>
      <c r="V175">
        <f ca="1">IF($C175-V$1&lt;År1,0,U174*(1-VLOOKUP($A175,[1]Hugst!$R$5:$W$9,MATCH(ROUNDUP((V$1)/10,0)*10,[1]Hugst!$R$4:$W$4,0))))</f>
        <v>106.4346267233563</v>
      </c>
      <c r="W175">
        <f ca="1">IF($C175-W$1&lt;År1,0,V174*(1-VLOOKUP($A175,[1]Hugst!$R$5:$W$9,MATCH(ROUNDUP((W$1)/10,0)*10,[1]Hugst!$R$4:$W$4,0))))</f>
        <v>106.59301266208753</v>
      </c>
      <c r="X175">
        <f ca="1">IF($C175-X$1&lt;År1,0,W174*(1-VLOOKUP($A175,[1]Hugst!$R$5:$W$9,MATCH(ROUNDUP((X$1)/10,0)*10,[1]Hugst!$R$4:$W$4,0))))</f>
        <v>106.75219451005873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55000000000000004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70.147938466356578</v>
      </c>
      <c r="G176">
        <f ca="1">IF($C176-G$1&lt;År1,0,F175*(1-VLOOKUP($A176,[1]Hugst!$R$5:$W$9,MATCH(ROUNDUP((G$1)/10,0)*10,[1]Hugst!$R$4:$W$4,0))))</f>
        <v>70.293386882250417</v>
      </c>
      <c r="H176">
        <f ca="1">IF($C176-H$1&lt;År1,0,G175*(1-VLOOKUP($A176,[1]Hugst!$R$5:$W$9,MATCH(ROUNDUP((H$1)/10,0)*10,[1]Hugst!$R$4:$W$4,0))))</f>
        <v>70.439566194704895</v>
      </c>
      <c r="I176">
        <f ca="1">IF($C176-I$1&lt;År1,0,H175*(1-VLOOKUP($A176,[1]Hugst!$R$5:$W$9,MATCH(ROUNDUP((I$1)/10,0)*10,[1]Hugst!$R$4:$W$4,0))))</f>
        <v>70.586480076568961</v>
      </c>
      <c r="J176">
        <f ca="1">IF($C176-J$1&lt;År1,0,I175*(1-VLOOKUP($A176,[1]Hugst!$R$5:$W$9,MATCH(ROUNDUP((J$1)/10,0)*10,[1]Hugst!$R$4:$W$4,0))))</f>
        <v>70.734132219146801</v>
      </c>
      <c r="K176">
        <f ca="1">IF($C176-K$1&lt;År1,0,J175*(1-VLOOKUP($A176,[1]Hugst!$R$5:$W$9,MATCH(ROUNDUP((K$1)/10,0)*10,[1]Hugst!$R$4:$W$4,0))))</f>
        <v>70.882526332289189</v>
      </c>
      <c r="L176">
        <f ca="1">IF($C176-L$1&lt;År1,0,K175*(1-VLOOKUP($A176,[1]Hugst!$R$5:$W$9,MATCH(ROUNDUP((L$1)/10,0)*10,[1]Hugst!$R$4:$W$4,0))))</f>
        <v>71.031666144492959</v>
      </c>
      <c r="M176">
        <f ca="1">IF($C176-M$1&lt;År1,0,L175*(1-VLOOKUP($A176,[1]Hugst!$R$5:$W$9,MATCH(ROUNDUP((M$1)/10,0)*10,[1]Hugst!$R$4:$W$4,0))))</f>
        <v>71.181555402989858</v>
      </c>
      <c r="N176">
        <f ca="1">IF($C176-N$1&lt;År1,0,M175*(1-VLOOKUP($A176,[1]Hugst!$R$5:$W$9,MATCH(ROUNDUP((N$1)/10,0)*10,[1]Hugst!$R$4:$W$4,0))))</f>
        <v>71.332197873839419</v>
      </c>
      <c r="O176">
        <f ca="1">IF($C176-O$1&lt;År1,0,N175*(1-VLOOKUP($A176,[1]Hugst!$R$5:$W$9,MATCH(ROUNDUP((O$1)/10,0)*10,[1]Hugst!$R$4:$W$4,0))))</f>
        <v>105.19571855415381</v>
      </c>
      <c r="P176">
        <f ca="1">IF($C176-P$1&lt;År1,0,O175*(1-VLOOKUP($A176,[1]Hugst!$R$5:$W$9,MATCH(ROUNDUP((P$1)/10,0)*10,[1]Hugst!$R$4:$W$4,0))))</f>
        <v>105.34787882369238</v>
      </c>
      <c r="Q176">
        <f ca="1">IF($C176-Q$1&lt;År1,0,P175*(1-VLOOKUP($A176,[1]Hugst!$R$5:$W$9,MATCH(ROUNDUP((Q$1)/10,0)*10,[1]Hugst!$R$4:$W$4,0))))</f>
        <v>105.50080371770207</v>
      </c>
      <c r="R176">
        <f ca="1">IF($C176-R$1&lt;År1,0,Q175*(1-VLOOKUP($A176,[1]Hugst!$R$5:$W$9,MATCH(ROUNDUP((R$1)/10,0)*10,[1]Hugst!$R$4:$W$4,0))))</f>
        <v>105.65449707851479</v>
      </c>
      <c r="S176">
        <f ca="1">IF($C176-S$1&lt;År1,0,R175*(1-VLOOKUP($A176,[1]Hugst!$R$5:$W$9,MATCH(ROUNDUP((S$1)/10,0)*10,[1]Hugst!$R$4:$W$4,0))))</f>
        <v>105.80896276777605</v>
      </c>
      <c r="T176">
        <f ca="1">IF($C176-T$1&lt;År1,0,S175*(1-VLOOKUP($A176,[1]Hugst!$R$5:$W$9,MATCH(ROUNDUP((T$1)/10,0)*10,[1]Hugst!$R$4:$W$4,0))))</f>
        <v>105.96420466652819</v>
      </c>
      <c r="U176">
        <f ca="1">IF($C176-U$1&lt;År1,0,T175*(1-VLOOKUP($A176,[1]Hugst!$R$5:$W$9,MATCH(ROUNDUP((U$1)/10,0)*10,[1]Hugst!$R$4:$W$4,0))))</f>
        <v>106.12022667532625</v>
      </c>
      <c r="V176">
        <f ca="1">IF($C176-V$1&lt;År1,0,U175*(1-VLOOKUP($A176,[1]Hugst!$R$5:$W$9,MATCH(ROUNDUP((V$1)/10,0)*10,[1]Hugst!$R$4:$W$4,0))))</f>
        <v>106.27703271431785</v>
      </c>
      <c r="W176">
        <f ca="1">IF($C176-W$1&lt;År1,0,V175*(1-VLOOKUP($A176,[1]Hugst!$R$5:$W$9,MATCH(ROUNDUP((W$1)/10,0)*10,[1]Hugst!$R$4:$W$4,0))))</f>
        <v>106.4346267233563</v>
      </c>
      <c r="X176">
        <f ca="1">IF($C176-X$1&lt;År1,0,W175*(1-VLOOKUP($A176,[1]Hugst!$R$5:$W$9,MATCH(ROUNDUP((X$1)/10,0)*10,[1]Hugst!$R$4:$W$4,0))))</f>
        <v>106.59301266208753</v>
      </c>
      <c r="Y176">
        <f ca="1">IF($C176-Y$1&lt;År1,0,X175*(1-VLOOKUP($A176,[1]Hugst!$R$5:$W$9,MATCH(ROUNDUP((Y$1)/10,0)*10,[1]Hugst!$R$4:$W$4,0))))</f>
        <v>106.75219451005873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55000000000000004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70.003217292543724</v>
      </c>
      <c r="G177">
        <f ca="1">IF($C177-G$1&lt;År1,0,F176*(1-VLOOKUP($A177,[1]Hugst!$R$5:$W$9,MATCH(ROUNDUP((G$1)/10,0)*10,[1]Hugst!$R$4:$W$4,0))))</f>
        <v>70.147938466356578</v>
      </c>
      <c r="H177">
        <f ca="1">IF($C177-H$1&lt;År1,0,G176*(1-VLOOKUP($A177,[1]Hugst!$R$5:$W$9,MATCH(ROUNDUP((H$1)/10,0)*10,[1]Hugst!$R$4:$W$4,0))))</f>
        <v>70.293386882250417</v>
      </c>
      <c r="I177">
        <f ca="1">IF($C177-I$1&lt;År1,0,H176*(1-VLOOKUP($A177,[1]Hugst!$R$5:$W$9,MATCH(ROUNDUP((I$1)/10,0)*10,[1]Hugst!$R$4:$W$4,0))))</f>
        <v>70.439566194704895</v>
      </c>
      <c r="J177">
        <f ca="1">IF($C177-J$1&lt;År1,0,I176*(1-VLOOKUP($A177,[1]Hugst!$R$5:$W$9,MATCH(ROUNDUP((J$1)/10,0)*10,[1]Hugst!$R$4:$W$4,0))))</f>
        <v>70.586480076568961</v>
      </c>
      <c r="K177">
        <f ca="1">IF($C177-K$1&lt;År1,0,J176*(1-VLOOKUP($A177,[1]Hugst!$R$5:$W$9,MATCH(ROUNDUP((K$1)/10,0)*10,[1]Hugst!$R$4:$W$4,0))))</f>
        <v>70.734132219146801</v>
      </c>
      <c r="L177">
        <f ca="1">IF($C177-L$1&lt;År1,0,K176*(1-VLOOKUP($A177,[1]Hugst!$R$5:$W$9,MATCH(ROUNDUP((L$1)/10,0)*10,[1]Hugst!$R$4:$W$4,0))))</f>
        <v>70.882526332289189</v>
      </c>
      <c r="M177">
        <f ca="1">IF($C177-M$1&lt;År1,0,L176*(1-VLOOKUP($A177,[1]Hugst!$R$5:$W$9,MATCH(ROUNDUP((M$1)/10,0)*10,[1]Hugst!$R$4:$W$4,0))))</f>
        <v>71.031666144492959</v>
      </c>
      <c r="N177">
        <f ca="1">IF($C177-N$1&lt;År1,0,M176*(1-VLOOKUP($A177,[1]Hugst!$R$5:$W$9,MATCH(ROUNDUP((N$1)/10,0)*10,[1]Hugst!$R$4:$W$4,0))))</f>
        <v>71.181555402989858</v>
      </c>
      <c r="O177">
        <f ca="1">IF($C177-O$1&lt;År1,0,N176*(1-VLOOKUP($A177,[1]Hugst!$R$5:$W$9,MATCH(ROUNDUP((O$1)/10,0)*10,[1]Hugst!$R$4:$W$4,0))))</f>
        <v>71.332197873839419</v>
      </c>
      <c r="P177">
        <f ca="1">IF($C177-P$1&lt;År1,0,O176*(1-VLOOKUP($A177,[1]Hugst!$R$5:$W$9,MATCH(ROUNDUP((P$1)/10,0)*10,[1]Hugst!$R$4:$W$4,0))))</f>
        <v>105.19571855415381</v>
      </c>
      <c r="Q177">
        <f ca="1">IF($C177-Q$1&lt;År1,0,P176*(1-VLOOKUP($A177,[1]Hugst!$R$5:$W$9,MATCH(ROUNDUP((Q$1)/10,0)*10,[1]Hugst!$R$4:$W$4,0))))</f>
        <v>105.34787882369238</v>
      </c>
      <c r="R177">
        <f ca="1">IF($C177-R$1&lt;År1,0,Q176*(1-VLOOKUP($A177,[1]Hugst!$R$5:$W$9,MATCH(ROUNDUP((R$1)/10,0)*10,[1]Hugst!$R$4:$W$4,0))))</f>
        <v>105.50080371770207</v>
      </c>
      <c r="S177">
        <f ca="1">IF($C177-S$1&lt;År1,0,R176*(1-VLOOKUP($A177,[1]Hugst!$R$5:$W$9,MATCH(ROUNDUP((S$1)/10,0)*10,[1]Hugst!$R$4:$W$4,0))))</f>
        <v>105.65449707851479</v>
      </c>
      <c r="T177">
        <f ca="1">IF($C177-T$1&lt;År1,0,S176*(1-VLOOKUP($A177,[1]Hugst!$R$5:$W$9,MATCH(ROUNDUP((T$1)/10,0)*10,[1]Hugst!$R$4:$W$4,0))))</f>
        <v>105.80896276777605</v>
      </c>
      <c r="U177">
        <f ca="1">IF($C177-U$1&lt;År1,0,T176*(1-VLOOKUP($A177,[1]Hugst!$R$5:$W$9,MATCH(ROUNDUP((U$1)/10,0)*10,[1]Hugst!$R$4:$W$4,0))))</f>
        <v>105.96420466652819</v>
      </c>
      <c r="V177">
        <f ca="1">IF($C177-V$1&lt;År1,0,U176*(1-VLOOKUP($A177,[1]Hugst!$R$5:$W$9,MATCH(ROUNDUP((V$1)/10,0)*10,[1]Hugst!$R$4:$W$4,0))))</f>
        <v>106.12022667532625</v>
      </c>
      <c r="W177">
        <f ca="1">IF($C177-W$1&lt;År1,0,V176*(1-VLOOKUP($A177,[1]Hugst!$R$5:$W$9,MATCH(ROUNDUP((W$1)/10,0)*10,[1]Hugst!$R$4:$W$4,0))))</f>
        <v>106.27703271431785</v>
      </c>
      <c r="X177">
        <f ca="1">IF($C177-X$1&lt;År1,0,W176*(1-VLOOKUP($A177,[1]Hugst!$R$5:$W$9,MATCH(ROUNDUP((X$1)/10,0)*10,[1]Hugst!$R$4:$W$4,0))))</f>
        <v>106.4346267233563</v>
      </c>
      <c r="Y177">
        <f ca="1">IF($C177-Y$1&lt;År1,0,X176*(1-VLOOKUP($A177,[1]Hugst!$R$5:$W$9,MATCH(ROUNDUP((Y$1)/10,0)*10,[1]Hugst!$R$4:$W$4,0))))</f>
        <v>106.59301266208753</v>
      </c>
      <c r="Z177">
        <f ca="1">IF($C177-Z$1&lt;År1,0,Y176*(1-VLOOKUP($A177,[1]Hugst!$R$5:$W$9,MATCH(ROUNDUP((Z$1)/10,0)*10,[1]Hugst!$R$4:$W$4,0))))</f>
        <v>106.75219451005873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55000000000000004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69.859219724599853</v>
      </c>
      <c r="G178">
        <f ca="1">IF($C178-G$1&lt;År1,0,F177*(1-VLOOKUP($A178,[1]Hugst!$R$5:$W$9,MATCH(ROUNDUP((G$1)/10,0)*10,[1]Hugst!$R$4:$W$4,0))))</f>
        <v>70.003217292543724</v>
      </c>
      <c r="H178">
        <f ca="1">IF($C178-H$1&lt;År1,0,G177*(1-VLOOKUP($A178,[1]Hugst!$R$5:$W$9,MATCH(ROUNDUP((H$1)/10,0)*10,[1]Hugst!$R$4:$W$4,0))))</f>
        <v>70.147938466356578</v>
      </c>
      <c r="I178">
        <f ca="1">IF($C178-I$1&lt;År1,0,H177*(1-VLOOKUP($A178,[1]Hugst!$R$5:$W$9,MATCH(ROUNDUP((I$1)/10,0)*10,[1]Hugst!$R$4:$W$4,0))))</f>
        <v>70.293386882250417</v>
      </c>
      <c r="J178">
        <f ca="1">IF($C178-J$1&lt;År1,0,I177*(1-VLOOKUP($A178,[1]Hugst!$R$5:$W$9,MATCH(ROUNDUP((J$1)/10,0)*10,[1]Hugst!$R$4:$W$4,0))))</f>
        <v>70.439566194704895</v>
      </c>
      <c r="K178">
        <f ca="1">IF($C178-K$1&lt;År1,0,J177*(1-VLOOKUP($A178,[1]Hugst!$R$5:$W$9,MATCH(ROUNDUP((K$1)/10,0)*10,[1]Hugst!$R$4:$W$4,0))))</f>
        <v>70.586480076568961</v>
      </c>
      <c r="L178">
        <f ca="1">IF($C178-L$1&lt;År1,0,K177*(1-VLOOKUP($A178,[1]Hugst!$R$5:$W$9,MATCH(ROUNDUP((L$1)/10,0)*10,[1]Hugst!$R$4:$W$4,0))))</f>
        <v>70.734132219146801</v>
      </c>
      <c r="M178">
        <f ca="1">IF($C178-M$1&lt;År1,0,L177*(1-VLOOKUP($A178,[1]Hugst!$R$5:$W$9,MATCH(ROUNDUP((M$1)/10,0)*10,[1]Hugst!$R$4:$W$4,0))))</f>
        <v>70.882526332289189</v>
      </c>
      <c r="N178">
        <f ca="1">IF($C178-N$1&lt;År1,0,M177*(1-VLOOKUP($A178,[1]Hugst!$R$5:$W$9,MATCH(ROUNDUP((N$1)/10,0)*10,[1]Hugst!$R$4:$W$4,0))))</f>
        <v>71.031666144492959</v>
      </c>
      <c r="O178">
        <f ca="1">IF($C178-O$1&lt;År1,0,N177*(1-VLOOKUP($A178,[1]Hugst!$R$5:$W$9,MATCH(ROUNDUP((O$1)/10,0)*10,[1]Hugst!$R$4:$W$4,0))))</f>
        <v>71.181555402989858</v>
      </c>
      <c r="P178">
        <f ca="1">IF($C178-P$1&lt;År1,0,O177*(1-VLOOKUP($A178,[1]Hugst!$R$5:$W$9,MATCH(ROUNDUP((P$1)/10,0)*10,[1]Hugst!$R$4:$W$4,0))))</f>
        <v>71.332197873839419</v>
      </c>
      <c r="Q178">
        <f ca="1">IF($C178-Q$1&lt;År1,0,P177*(1-VLOOKUP($A178,[1]Hugst!$R$5:$W$9,MATCH(ROUNDUP((Q$1)/10,0)*10,[1]Hugst!$R$4:$W$4,0))))</f>
        <v>105.19571855415381</v>
      </c>
      <c r="R178">
        <f ca="1">IF($C178-R$1&lt;År1,0,Q177*(1-VLOOKUP($A178,[1]Hugst!$R$5:$W$9,MATCH(ROUNDUP((R$1)/10,0)*10,[1]Hugst!$R$4:$W$4,0))))</f>
        <v>105.34787882369238</v>
      </c>
      <c r="S178">
        <f ca="1">IF($C178-S$1&lt;År1,0,R177*(1-VLOOKUP($A178,[1]Hugst!$R$5:$W$9,MATCH(ROUNDUP((S$1)/10,0)*10,[1]Hugst!$R$4:$W$4,0))))</f>
        <v>105.50080371770207</v>
      </c>
      <c r="T178">
        <f ca="1">IF($C178-T$1&lt;År1,0,S177*(1-VLOOKUP($A178,[1]Hugst!$R$5:$W$9,MATCH(ROUNDUP((T$1)/10,0)*10,[1]Hugst!$R$4:$W$4,0))))</f>
        <v>105.65449707851479</v>
      </c>
      <c r="U178">
        <f ca="1">IF($C178-U$1&lt;År1,0,T177*(1-VLOOKUP($A178,[1]Hugst!$R$5:$W$9,MATCH(ROUNDUP((U$1)/10,0)*10,[1]Hugst!$R$4:$W$4,0))))</f>
        <v>105.80896276777605</v>
      </c>
      <c r="V178">
        <f ca="1">IF($C178-V$1&lt;År1,0,U177*(1-VLOOKUP($A178,[1]Hugst!$R$5:$W$9,MATCH(ROUNDUP((V$1)/10,0)*10,[1]Hugst!$R$4:$W$4,0))))</f>
        <v>105.96420466652819</v>
      </c>
      <c r="W178">
        <f ca="1">IF($C178-W$1&lt;År1,0,V177*(1-VLOOKUP($A178,[1]Hugst!$R$5:$W$9,MATCH(ROUNDUP((W$1)/10,0)*10,[1]Hugst!$R$4:$W$4,0))))</f>
        <v>106.12022667532625</v>
      </c>
      <c r="X178">
        <f ca="1">IF($C178-X$1&lt;År1,0,W177*(1-VLOOKUP($A178,[1]Hugst!$R$5:$W$9,MATCH(ROUNDUP((X$1)/10,0)*10,[1]Hugst!$R$4:$W$4,0))))</f>
        <v>106.27703271431785</v>
      </c>
      <c r="Y178">
        <f ca="1">IF($C178-Y$1&lt;År1,0,X177*(1-VLOOKUP($A178,[1]Hugst!$R$5:$W$9,MATCH(ROUNDUP((Y$1)/10,0)*10,[1]Hugst!$R$4:$W$4,0))))</f>
        <v>106.4346267233563</v>
      </c>
      <c r="Z178">
        <f ca="1">IF($C178-Z$1&lt;År1,0,Y177*(1-VLOOKUP($A178,[1]Hugst!$R$5:$W$9,MATCH(ROUNDUP((Z$1)/10,0)*10,[1]Hugst!$R$4:$W$4,0))))</f>
        <v>106.59301266208753</v>
      </c>
      <c r="AA178">
        <f ca="1">IF($C178-AA$1&lt;År1,0,Z177*(1-VLOOKUP($A178,[1]Hugst!$R$5:$W$9,MATCH(ROUNDUP((AA$1)/10,0)*10,[1]Hugst!$R$4:$W$4,0))))</f>
        <v>106.75219451005873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55000000000000004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69.715942144495131</v>
      </c>
      <c r="G179">
        <f ca="1">IF($C179-G$1&lt;År1,0,F178*(1-VLOOKUP($A179,[1]Hugst!$R$5:$W$9,MATCH(ROUNDUP((G$1)/10,0)*10,[1]Hugst!$R$4:$W$4,0))))</f>
        <v>69.859219724599853</v>
      </c>
      <c r="H179">
        <f ca="1">IF($C179-H$1&lt;År1,0,G178*(1-VLOOKUP($A179,[1]Hugst!$R$5:$W$9,MATCH(ROUNDUP((H$1)/10,0)*10,[1]Hugst!$R$4:$W$4,0))))</f>
        <v>70.003217292543724</v>
      </c>
      <c r="I179">
        <f ca="1">IF($C179-I$1&lt;År1,0,H178*(1-VLOOKUP($A179,[1]Hugst!$R$5:$W$9,MATCH(ROUNDUP((I$1)/10,0)*10,[1]Hugst!$R$4:$W$4,0))))</f>
        <v>70.147938466356578</v>
      </c>
      <c r="J179">
        <f ca="1">IF($C179-J$1&lt;År1,0,I178*(1-VLOOKUP($A179,[1]Hugst!$R$5:$W$9,MATCH(ROUNDUP((J$1)/10,0)*10,[1]Hugst!$R$4:$W$4,0))))</f>
        <v>70.293386882250417</v>
      </c>
      <c r="K179">
        <f ca="1">IF($C179-K$1&lt;År1,0,J178*(1-VLOOKUP($A179,[1]Hugst!$R$5:$W$9,MATCH(ROUNDUP((K$1)/10,0)*10,[1]Hugst!$R$4:$W$4,0))))</f>
        <v>70.439566194704895</v>
      </c>
      <c r="L179">
        <f ca="1">IF($C179-L$1&lt;År1,0,K178*(1-VLOOKUP($A179,[1]Hugst!$R$5:$W$9,MATCH(ROUNDUP((L$1)/10,0)*10,[1]Hugst!$R$4:$W$4,0))))</f>
        <v>70.586480076568961</v>
      </c>
      <c r="M179">
        <f ca="1">IF($C179-M$1&lt;År1,0,L178*(1-VLOOKUP($A179,[1]Hugst!$R$5:$W$9,MATCH(ROUNDUP((M$1)/10,0)*10,[1]Hugst!$R$4:$W$4,0))))</f>
        <v>70.734132219146801</v>
      </c>
      <c r="N179">
        <f ca="1">IF($C179-N$1&lt;År1,0,M178*(1-VLOOKUP($A179,[1]Hugst!$R$5:$W$9,MATCH(ROUNDUP((N$1)/10,0)*10,[1]Hugst!$R$4:$W$4,0))))</f>
        <v>70.882526332289189</v>
      </c>
      <c r="O179">
        <f ca="1">IF($C179-O$1&lt;År1,0,N178*(1-VLOOKUP($A179,[1]Hugst!$R$5:$W$9,MATCH(ROUNDUP((O$1)/10,0)*10,[1]Hugst!$R$4:$W$4,0))))</f>
        <v>71.031666144492959</v>
      </c>
      <c r="P179">
        <f ca="1">IF($C179-P$1&lt;År1,0,O178*(1-VLOOKUP($A179,[1]Hugst!$R$5:$W$9,MATCH(ROUNDUP((P$1)/10,0)*10,[1]Hugst!$R$4:$W$4,0))))</f>
        <v>71.181555402989858</v>
      </c>
      <c r="Q179">
        <f ca="1">IF($C179-Q$1&lt;År1,0,P178*(1-VLOOKUP($A179,[1]Hugst!$R$5:$W$9,MATCH(ROUNDUP((Q$1)/10,0)*10,[1]Hugst!$R$4:$W$4,0))))</f>
        <v>71.332197873839419</v>
      </c>
      <c r="R179">
        <f ca="1">IF($C179-R$1&lt;År1,0,Q178*(1-VLOOKUP($A179,[1]Hugst!$R$5:$W$9,MATCH(ROUNDUP((R$1)/10,0)*10,[1]Hugst!$R$4:$W$4,0))))</f>
        <v>105.19571855415381</v>
      </c>
      <c r="S179">
        <f ca="1">IF($C179-S$1&lt;År1,0,R178*(1-VLOOKUP($A179,[1]Hugst!$R$5:$W$9,MATCH(ROUNDUP((S$1)/10,0)*10,[1]Hugst!$R$4:$W$4,0))))</f>
        <v>105.34787882369238</v>
      </c>
      <c r="T179">
        <f ca="1">IF($C179-T$1&lt;År1,0,S178*(1-VLOOKUP($A179,[1]Hugst!$R$5:$W$9,MATCH(ROUNDUP((T$1)/10,0)*10,[1]Hugst!$R$4:$W$4,0))))</f>
        <v>105.50080371770207</v>
      </c>
      <c r="U179">
        <f ca="1">IF($C179-U$1&lt;År1,0,T178*(1-VLOOKUP($A179,[1]Hugst!$R$5:$W$9,MATCH(ROUNDUP((U$1)/10,0)*10,[1]Hugst!$R$4:$W$4,0))))</f>
        <v>105.65449707851479</v>
      </c>
      <c r="V179">
        <f ca="1">IF($C179-V$1&lt;År1,0,U178*(1-VLOOKUP($A179,[1]Hugst!$R$5:$W$9,MATCH(ROUNDUP((V$1)/10,0)*10,[1]Hugst!$R$4:$W$4,0))))</f>
        <v>105.80896276777605</v>
      </c>
      <c r="W179">
        <f ca="1">IF($C179-W$1&lt;År1,0,V178*(1-VLOOKUP($A179,[1]Hugst!$R$5:$W$9,MATCH(ROUNDUP((W$1)/10,0)*10,[1]Hugst!$R$4:$W$4,0))))</f>
        <v>105.96420466652819</v>
      </c>
      <c r="X179">
        <f ca="1">IF($C179-X$1&lt;År1,0,W178*(1-VLOOKUP($A179,[1]Hugst!$R$5:$W$9,MATCH(ROUNDUP((X$1)/10,0)*10,[1]Hugst!$R$4:$W$4,0))))</f>
        <v>106.12022667532625</v>
      </c>
      <c r="Y179">
        <f ca="1">IF($C179-Y$1&lt;År1,0,X178*(1-VLOOKUP($A179,[1]Hugst!$R$5:$W$9,MATCH(ROUNDUP((Y$1)/10,0)*10,[1]Hugst!$R$4:$W$4,0))))</f>
        <v>106.27703271431785</v>
      </c>
      <c r="Z179">
        <f ca="1">IF($C179-Z$1&lt;År1,0,Y178*(1-VLOOKUP($A179,[1]Hugst!$R$5:$W$9,MATCH(ROUNDUP((Z$1)/10,0)*10,[1]Hugst!$R$4:$W$4,0))))</f>
        <v>106.4346267233563</v>
      </c>
      <c r="AA179">
        <f ca="1">IF($C179-AA$1&lt;År1,0,Z178*(1-VLOOKUP($A179,[1]Hugst!$R$5:$W$9,MATCH(ROUNDUP((AA$1)/10,0)*10,[1]Hugst!$R$4:$W$4,0))))</f>
        <v>106.59301266208753</v>
      </c>
      <c r="AB179">
        <f ca="1">IF($C179-AB$1&lt;År1,0,AA178*(1-VLOOKUP($A179,[1]Hugst!$R$5:$W$9,MATCH(ROUNDUP((AB$1)/10,0)*10,[1]Hugst!$R$4:$W$4,0))))</f>
        <v>106.75219451005873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55000000000000004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69.573380952291387</v>
      </c>
      <c r="G180">
        <f ca="1">IF($C180-G$1&lt;År1,0,F179*(1-VLOOKUP($A180,[1]Hugst!$R$5:$W$9,MATCH(ROUNDUP((G$1)/10,0)*10,[1]Hugst!$R$4:$W$4,0))))</f>
        <v>69.715942144495131</v>
      </c>
      <c r="H180">
        <f ca="1">IF($C180-H$1&lt;År1,0,G179*(1-VLOOKUP($A180,[1]Hugst!$R$5:$W$9,MATCH(ROUNDUP((H$1)/10,0)*10,[1]Hugst!$R$4:$W$4,0))))</f>
        <v>69.859219724599853</v>
      </c>
      <c r="I180">
        <f ca="1">IF($C180-I$1&lt;År1,0,H179*(1-VLOOKUP($A180,[1]Hugst!$R$5:$W$9,MATCH(ROUNDUP((I$1)/10,0)*10,[1]Hugst!$R$4:$W$4,0))))</f>
        <v>70.003217292543724</v>
      </c>
      <c r="J180">
        <f ca="1">IF($C180-J$1&lt;År1,0,I179*(1-VLOOKUP($A180,[1]Hugst!$R$5:$W$9,MATCH(ROUNDUP((J$1)/10,0)*10,[1]Hugst!$R$4:$W$4,0))))</f>
        <v>70.147938466356578</v>
      </c>
      <c r="K180">
        <f ca="1">IF($C180-K$1&lt;År1,0,J179*(1-VLOOKUP($A180,[1]Hugst!$R$5:$W$9,MATCH(ROUNDUP((K$1)/10,0)*10,[1]Hugst!$R$4:$W$4,0))))</f>
        <v>70.293386882250417</v>
      </c>
      <c r="L180">
        <f ca="1">IF($C180-L$1&lt;År1,0,K179*(1-VLOOKUP($A180,[1]Hugst!$R$5:$W$9,MATCH(ROUNDUP((L$1)/10,0)*10,[1]Hugst!$R$4:$W$4,0))))</f>
        <v>70.439566194704895</v>
      </c>
      <c r="M180">
        <f ca="1">IF($C180-M$1&lt;År1,0,L179*(1-VLOOKUP($A180,[1]Hugst!$R$5:$W$9,MATCH(ROUNDUP((M$1)/10,0)*10,[1]Hugst!$R$4:$W$4,0))))</f>
        <v>70.586480076568961</v>
      </c>
      <c r="N180">
        <f ca="1">IF($C180-N$1&lt;År1,0,M179*(1-VLOOKUP($A180,[1]Hugst!$R$5:$W$9,MATCH(ROUNDUP((N$1)/10,0)*10,[1]Hugst!$R$4:$W$4,0))))</f>
        <v>70.734132219146801</v>
      </c>
      <c r="O180">
        <f ca="1">IF($C180-O$1&lt;År1,0,N179*(1-VLOOKUP($A180,[1]Hugst!$R$5:$W$9,MATCH(ROUNDUP((O$1)/10,0)*10,[1]Hugst!$R$4:$W$4,0))))</f>
        <v>70.882526332289189</v>
      </c>
      <c r="P180">
        <f ca="1">IF($C180-P$1&lt;År1,0,O179*(1-VLOOKUP($A180,[1]Hugst!$R$5:$W$9,MATCH(ROUNDUP((P$1)/10,0)*10,[1]Hugst!$R$4:$W$4,0))))</f>
        <v>71.031666144492959</v>
      </c>
      <c r="Q180">
        <f ca="1">IF($C180-Q$1&lt;År1,0,P179*(1-VLOOKUP($A180,[1]Hugst!$R$5:$W$9,MATCH(ROUNDUP((Q$1)/10,0)*10,[1]Hugst!$R$4:$W$4,0))))</f>
        <v>71.181555402989858</v>
      </c>
      <c r="R180">
        <f ca="1">IF($C180-R$1&lt;År1,0,Q179*(1-VLOOKUP($A180,[1]Hugst!$R$5:$W$9,MATCH(ROUNDUP((R$1)/10,0)*10,[1]Hugst!$R$4:$W$4,0))))</f>
        <v>71.332197873839419</v>
      </c>
      <c r="S180">
        <f ca="1">IF($C180-S$1&lt;År1,0,R179*(1-VLOOKUP($A180,[1]Hugst!$R$5:$W$9,MATCH(ROUNDUP((S$1)/10,0)*10,[1]Hugst!$R$4:$W$4,0))))</f>
        <v>105.19571855415381</v>
      </c>
      <c r="T180">
        <f ca="1">IF($C180-T$1&lt;År1,0,S179*(1-VLOOKUP($A180,[1]Hugst!$R$5:$W$9,MATCH(ROUNDUP((T$1)/10,0)*10,[1]Hugst!$R$4:$W$4,0))))</f>
        <v>105.34787882369238</v>
      </c>
      <c r="U180">
        <f ca="1">IF($C180-U$1&lt;År1,0,T179*(1-VLOOKUP($A180,[1]Hugst!$R$5:$W$9,MATCH(ROUNDUP((U$1)/10,0)*10,[1]Hugst!$R$4:$W$4,0))))</f>
        <v>105.50080371770207</v>
      </c>
      <c r="V180">
        <f ca="1">IF($C180-V$1&lt;År1,0,U179*(1-VLOOKUP($A180,[1]Hugst!$R$5:$W$9,MATCH(ROUNDUP((V$1)/10,0)*10,[1]Hugst!$R$4:$W$4,0))))</f>
        <v>105.65449707851479</v>
      </c>
      <c r="W180">
        <f ca="1">IF($C180-W$1&lt;År1,0,V179*(1-VLOOKUP($A180,[1]Hugst!$R$5:$W$9,MATCH(ROUNDUP((W$1)/10,0)*10,[1]Hugst!$R$4:$W$4,0))))</f>
        <v>105.80896276777605</v>
      </c>
      <c r="X180">
        <f ca="1">IF($C180-X$1&lt;År1,0,W179*(1-VLOOKUP($A180,[1]Hugst!$R$5:$W$9,MATCH(ROUNDUP((X$1)/10,0)*10,[1]Hugst!$R$4:$W$4,0))))</f>
        <v>105.96420466652819</v>
      </c>
      <c r="Y180">
        <f ca="1">IF($C180-Y$1&lt;År1,0,X179*(1-VLOOKUP($A180,[1]Hugst!$R$5:$W$9,MATCH(ROUNDUP((Y$1)/10,0)*10,[1]Hugst!$R$4:$W$4,0))))</f>
        <v>106.12022667532625</v>
      </c>
      <c r="Z180">
        <f ca="1">IF($C180-Z$1&lt;År1,0,Y179*(1-VLOOKUP($A180,[1]Hugst!$R$5:$W$9,MATCH(ROUNDUP((Z$1)/10,0)*10,[1]Hugst!$R$4:$W$4,0))))</f>
        <v>106.27703271431785</v>
      </c>
      <c r="AA180">
        <f ca="1">IF($C180-AA$1&lt;År1,0,Z179*(1-VLOOKUP($A180,[1]Hugst!$R$5:$W$9,MATCH(ROUNDUP((AA$1)/10,0)*10,[1]Hugst!$R$4:$W$4,0))))</f>
        <v>106.4346267233563</v>
      </c>
      <c r="AB180">
        <f ca="1">IF($C180-AB$1&lt;År1,0,AA179*(1-VLOOKUP($A180,[1]Hugst!$R$5:$W$9,MATCH(ROUNDUP((AB$1)/10,0)*10,[1]Hugst!$R$4:$W$4,0))))</f>
        <v>106.59301266208753</v>
      </c>
      <c r="AC180">
        <f ca="1">IF($C180-AC$1&lt;År1,0,AB179*(1-VLOOKUP($A180,[1]Hugst!$R$5:$W$9,MATCH(ROUNDUP((AC$1)/10,0)*10,[1]Hugst!$R$4:$W$4,0))))</f>
        <v>106.75219451005873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55000000000000004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69.431532566047878</v>
      </c>
      <c r="G181">
        <f ca="1">IF($C181-G$1&lt;År1,0,F180*(1-VLOOKUP($A181,[1]Hugst!$R$5:$W$9,MATCH(ROUNDUP((G$1)/10,0)*10,[1]Hugst!$R$4:$W$4,0))))</f>
        <v>69.573380952291387</v>
      </c>
      <c r="H181">
        <f ca="1">IF($C181-H$1&lt;År1,0,G180*(1-VLOOKUP($A181,[1]Hugst!$R$5:$W$9,MATCH(ROUNDUP((H$1)/10,0)*10,[1]Hugst!$R$4:$W$4,0))))</f>
        <v>69.715942144495131</v>
      </c>
      <c r="I181">
        <f ca="1">IF($C181-I$1&lt;År1,0,H180*(1-VLOOKUP($A181,[1]Hugst!$R$5:$W$9,MATCH(ROUNDUP((I$1)/10,0)*10,[1]Hugst!$R$4:$W$4,0))))</f>
        <v>69.859219724599853</v>
      </c>
      <c r="J181">
        <f ca="1">IF($C181-J$1&lt;År1,0,I180*(1-VLOOKUP($A181,[1]Hugst!$R$5:$W$9,MATCH(ROUNDUP((J$1)/10,0)*10,[1]Hugst!$R$4:$W$4,0))))</f>
        <v>70.003217292543724</v>
      </c>
      <c r="K181">
        <f ca="1">IF($C181-K$1&lt;År1,0,J180*(1-VLOOKUP($A181,[1]Hugst!$R$5:$W$9,MATCH(ROUNDUP((K$1)/10,0)*10,[1]Hugst!$R$4:$W$4,0))))</f>
        <v>70.147938466356578</v>
      </c>
      <c r="L181">
        <f ca="1">IF($C181-L$1&lt;År1,0,K180*(1-VLOOKUP($A181,[1]Hugst!$R$5:$W$9,MATCH(ROUNDUP((L$1)/10,0)*10,[1]Hugst!$R$4:$W$4,0))))</f>
        <v>70.293386882250417</v>
      </c>
      <c r="M181">
        <f ca="1">IF($C181-M$1&lt;År1,0,L180*(1-VLOOKUP($A181,[1]Hugst!$R$5:$W$9,MATCH(ROUNDUP((M$1)/10,0)*10,[1]Hugst!$R$4:$W$4,0))))</f>
        <v>70.439566194704895</v>
      </c>
      <c r="N181">
        <f ca="1">IF($C181-N$1&lt;År1,0,M180*(1-VLOOKUP($A181,[1]Hugst!$R$5:$W$9,MATCH(ROUNDUP((N$1)/10,0)*10,[1]Hugst!$R$4:$W$4,0))))</f>
        <v>70.586480076568961</v>
      </c>
      <c r="O181">
        <f ca="1">IF($C181-O$1&lt;År1,0,N180*(1-VLOOKUP($A181,[1]Hugst!$R$5:$W$9,MATCH(ROUNDUP((O$1)/10,0)*10,[1]Hugst!$R$4:$W$4,0))))</f>
        <v>70.734132219146801</v>
      </c>
      <c r="P181">
        <f ca="1">IF($C181-P$1&lt;År1,0,O180*(1-VLOOKUP($A181,[1]Hugst!$R$5:$W$9,MATCH(ROUNDUP((P$1)/10,0)*10,[1]Hugst!$R$4:$W$4,0))))</f>
        <v>70.882526332289189</v>
      </c>
      <c r="Q181">
        <f ca="1">IF($C181-Q$1&lt;År1,0,P180*(1-VLOOKUP($A181,[1]Hugst!$R$5:$W$9,MATCH(ROUNDUP((Q$1)/10,0)*10,[1]Hugst!$R$4:$W$4,0))))</f>
        <v>71.031666144492959</v>
      </c>
      <c r="R181">
        <f ca="1">IF($C181-R$1&lt;År1,0,Q180*(1-VLOOKUP($A181,[1]Hugst!$R$5:$W$9,MATCH(ROUNDUP((R$1)/10,0)*10,[1]Hugst!$R$4:$W$4,0))))</f>
        <v>71.181555402989858</v>
      </c>
      <c r="S181">
        <f ca="1">IF($C181-S$1&lt;År1,0,R180*(1-VLOOKUP($A181,[1]Hugst!$R$5:$W$9,MATCH(ROUNDUP((S$1)/10,0)*10,[1]Hugst!$R$4:$W$4,0))))</f>
        <v>71.332197873839419</v>
      </c>
      <c r="T181">
        <f ca="1">IF($C181-T$1&lt;År1,0,S180*(1-VLOOKUP($A181,[1]Hugst!$R$5:$W$9,MATCH(ROUNDUP((T$1)/10,0)*10,[1]Hugst!$R$4:$W$4,0))))</f>
        <v>105.19571855415381</v>
      </c>
      <c r="U181">
        <f ca="1">IF($C181-U$1&lt;År1,0,T180*(1-VLOOKUP($A181,[1]Hugst!$R$5:$W$9,MATCH(ROUNDUP((U$1)/10,0)*10,[1]Hugst!$R$4:$W$4,0))))</f>
        <v>105.34787882369238</v>
      </c>
      <c r="V181">
        <f ca="1">IF($C181-V$1&lt;År1,0,U180*(1-VLOOKUP($A181,[1]Hugst!$R$5:$W$9,MATCH(ROUNDUP((V$1)/10,0)*10,[1]Hugst!$R$4:$W$4,0))))</f>
        <v>105.50080371770207</v>
      </c>
      <c r="W181">
        <f ca="1">IF($C181-W$1&lt;År1,0,V180*(1-VLOOKUP($A181,[1]Hugst!$R$5:$W$9,MATCH(ROUNDUP((W$1)/10,0)*10,[1]Hugst!$R$4:$W$4,0))))</f>
        <v>105.65449707851479</v>
      </c>
      <c r="X181">
        <f ca="1">IF($C181-X$1&lt;År1,0,W180*(1-VLOOKUP($A181,[1]Hugst!$R$5:$W$9,MATCH(ROUNDUP((X$1)/10,0)*10,[1]Hugst!$R$4:$W$4,0))))</f>
        <v>105.80896276777605</v>
      </c>
      <c r="Y181">
        <f ca="1">IF($C181-Y$1&lt;År1,0,X180*(1-VLOOKUP($A181,[1]Hugst!$R$5:$W$9,MATCH(ROUNDUP((Y$1)/10,0)*10,[1]Hugst!$R$4:$W$4,0))))</f>
        <v>105.96420466652819</v>
      </c>
      <c r="Z181">
        <f ca="1">IF($C181-Z$1&lt;År1,0,Y180*(1-VLOOKUP($A181,[1]Hugst!$R$5:$W$9,MATCH(ROUNDUP((Z$1)/10,0)*10,[1]Hugst!$R$4:$W$4,0))))</f>
        <v>106.12022667532625</v>
      </c>
      <c r="AA181">
        <f ca="1">IF($C181-AA$1&lt;År1,0,Z180*(1-VLOOKUP($A181,[1]Hugst!$R$5:$W$9,MATCH(ROUNDUP((AA$1)/10,0)*10,[1]Hugst!$R$4:$W$4,0))))</f>
        <v>106.27703271431785</v>
      </c>
      <c r="AB181">
        <f ca="1">IF($C181-AB$1&lt;År1,0,AA180*(1-VLOOKUP($A181,[1]Hugst!$R$5:$W$9,MATCH(ROUNDUP((AB$1)/10,0)*10,[1]Hugst!$R$4:$W$4,0))))</f>
        <v>106.4346267233563</v>
      </c>
      <c r="AC181">
        <f ca="1">IF($C181-AC$1&lt;År1,0,AB180*(1-VLOOKUP($A181,[1]Hugst!$R$5:$W$9,MATCH(ROUNDUP((AC$1)/10,0)*10,[1]Hugst!$R$4:$W$4,0))))</f>
        <v>106.59301266208753</v>
      </c>
      <c r="AD181">
        <f ca="1">IF($C181-AD$1&lt;År1,0,AC180*(1-VLOOKUP($A181,[1]Hugst!$R$5:$W$9,MATCH(ROUNDUP((AD$1)/10,0)*10,[1]Hugst!$R$4:$W$4,0))))</f>
        <v>106.75219451005873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55000000000000004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69.290393421736468</v>
      </c>
      <c r="G182">
        <f ca="1">IF($C182-G$1&lt;År1,0,F181*(1-VLOOKUP($A182,[1]Hugst!$R$5:$W$9,MATCH(ROUNDUP((G$1)/10,0)*10,[1]Hugst!$R$4:$W$4,0))))</f>
        <v>69.431532566047878</v>
      </c>
      <c r="H182">
        <f ca="1">IF($C182-H$1&lt;År1,0,G181*(1-VLOOKUP($A182,[1]Hugst!$R$5:$W$9,MATCH(ROUNDUP((H$1)/10,0)*10,[1]Hugst!$R$4:$W$4,0))))</f>
        <v>69.573380952291387</v>
      </c>
      <c r="I182">
        <f ca="1">IF($C182-I$1&lt;År1,0,H181*(1-VLOOKUP($A182,[1]Hugst!$R$5:$W$9,MATCH(ROUNDUP((I$1)/10,0)*10,[1]Hugst!$R$4:$W$4,0))))</f>
        <v>69.715942144495131</v>
      </c>
      <c r="J182">
        <f ca="1">IF($C182-J$1&lt;År1,0,I181*(1-VLOOKUP($A182,[1]Hugst!$R$5:$W$9,MATCH(ROUNDUP((J$1)/10,0)*10,[1]Hugst!$R$4:$W$4,0))))</f>
        <v>69.859219724599853</v>
      </c>
      <c r="K182">
        <f ca="1">IF($C182-K$1&lt;År1,0,J181*(1-VLOOKUP($A182,[1]Hugst!$R$5:$W$9,MATCH(ROUNDUP((K$1)/10,0)*10,[1]Hugst!$R$4:$W$4,0))))</f>
        <v>70.003217292543724</v>
      </c>
      <c r="L182">
        <f ca="1">IF($C182-L$1&lt;År1,0,K181*(1-VLOOKUP($A182,[1]Hugst!$R$5:$W$9,MATCH(ROUNDUP((L$1)/10,0)*10,[1]Hugst!$R$4:$W$4,0))))</f>
        <v>70.147938466356578</v>
      </c>
      <c r="M182">
        <f ca="1">IF($C182-M$1&lt;År1,0,L181*(1-VLOOKUP($A182,[1]Hugst!$R$5:$W$9,MATCH(ROUNDUP((M$1)/10,0)*10,[1]Hugst!$R$4:$W$4,0))))</f>
        <v>70.293386882250417</v>
      </c>
      <c r="N182">
        <f ca="1">IF($C182-N$1&lt;År1,0,M181*(1-VLOOKUP($A182,[1]Hugst!$R$5:$W$9,MATCH(ROUNDUP((N$1)/10,0)*10,[1]Hugst!$R$4:$W$4,0))))</f>
        <v>70.439566194704895</v>
      </c>
      <c r="O182">
        <f ca="1">IF($C182-O$1&lt;År1,0,N181*(1-VLOOKUP($A182,[1]Hugst!$R$5:$W$9,MATCH(ROUNDUP((O$1)/10,0)*10,[1]Hugst!$R$4:$W$4,0))))</f>
        <v>70.586480076568961</v>
      </c>
      <c r="P182">
        <f ca="1">IF($C182-P$1&lt;År1,0,O181*(1-VLOOKUP($A182,[1]Hugst!$R$5:$W$9,MATCH(ROUNDUP((P$1)/10,0)*10,[1]Hugst!$R$4:$W$4,0))))</f>
        <v>70.734132219146801</v>
      </c>
      <c r="Q182">
        <f ca="1">IF($C182-Q$1&lt;År1,0,P181*(1-VLOOKUP($A182,[1]Hugst!$R$5:$W$9,MATCH(ROUNDUP((Q$1)/10,0)*10,[1]Hugst!$R$4:$W$4,0))))</f>
        <v>70.882526332289189</v>
      </c>
      <c r="R182">
        <f ca="1">IF($C182-R$1&lt;År1,0,Q181*(1-VLOOKUP($A182,[1]Hugst!$R$5:$W$9,MATCH(ROUNDUP((R$1)/10,0)*10,[1]Hugst!$R$4:$W$4,0))))</f>
        <v>71.031666144492959</v>
      </c>
      <c r="S182">
        <f ca="1">IF($C182-S$1&lt;År1,0,R181*(1-VLOOKUP($A182,[1]Hugst!$R$5:$W$9,MATCH(ROUNDUP((S$1)/10,0)*10,[1]Hugst!$R$4:$W$4,0))))</f>
        <v>71.181555402989858</v>
      </c>
      <c r="T182">
        <f ca="1">IF($C182-T$1&lt;År1,0,S181*(1-VLOOKUP($A182,[1]Hugst!$R$5:$W$9,MATCH(ROUNDUP((T$1)/10,0)*10,[1]Hugst!$R$4:$W$4,0))))</f>
        <v>71.332197873839419</v>
      </c>
      <c r="U182">
        <f ca="1">IF($C182-U$1&lt;År1,0,T181*(1-VLOOKUP($A182,[1]Hugst!$R$5:$W$9,MATCH(ROUNDUP((U$1)/10,0)*10,[1]Hugst!$R$4:$W$4,0))))</f>
        <v>105.19571855415381</v>
      </c>
      <c r="V182">
        <f ca="1">IF($C182-V$1&lt;År1,0,U181*(1-VLOOKUP($A182,[1]Hugst!$R$5:$W$9,MATCH(ROUNDUP((V$1)/10,0)*10,[1]Hugst!$R$4:$W$4,0))))</f>
        <v>105.34787882369238</v>
      </c>
      <c r="W182">
        <f ca="1">IF($C182-W$1&lt;År1,0,V181*(1-VLOOKUP($A182,[1]Hugst!$R$5:$W$9,MATCH(ROUNDUP((W$1)/10,0)*10,[1]Hugst!$R$4:$W$4,0))))</f>
        <v>105.50080371770207</v>
      </c>
      <c r="X182">
        <f ca="1">IF($C182-X$1&lt;År1,0,W181*(1-VLOOKUP($A182,[1]Hugst!$R$5:$W$9,MATCH(ROUNDUP((X$1)/10,0)*10,[1]Hugst!$R$4:$W$4,0))))</f>
        <v>105.65449707851479</v>
      </c>
      <c r="Y182">
        <f ca="1">IF($C182-Y$1&lt;År1,0,X181*(1-VLOOKUP($A182,[1]Hugst!$R$5:$W$9,MATCH(ROUNDUP((Y$1)/10,0)*10,[1]Hugst!$R$4:$W$4,0))))</f>
        <v>105.80896276777605</v>
      </c>
      <c r="Z182">
        <f ca="1">IF($C182-Z$1&lt;År1,0,Y181*(1-VLOOKUP($A182,[1]Hugst!$R$5:$W$9,MATCH(ROUNDUP((Z$1)/10,0)*10,[1]Hugst!$R$4:$W$4,0))))</f>
        <v>105.96420466652819</v>
      </c>
      <c r="AA182">
        <f ca="1">IF($C182-AA$1&lt;År1,0,Z181*(1-VLOOKUP($A182,[1]Hugst!$R$5:$W$9,MATCH(ROUNDUP((AA$1)/10,0)*10,[1]Hugst!$R$4:$W$4,0))))</f>
        <v>106.12022667532625</v>
      </c>
      <c r="AB182">
        <f ca="1">IF($C182-AB$1&lt;År1,0,AA181*(1-VLOOKUP($A182,[1]Hugst!$R$5:$W$9,MATCH(ROUNDUP((AB$1)/10,0)*10,[1]Hugst!$R$4:$W$4,0))))</f>
        <v>106.27703271431785</v>
      </c>
      <c r="AC182">
        <f ca="1">IF($C182-AC$1&lt;År1,0,AB181*(1-VLOOKUP($A182,[1]Hugst!$R$5:$W$9,MATCH(ROUNDUP((AC$1)/10,0)*10,[1]Hugst!$R$4:$W$4,0))))</f>
        <v>106.4346267233563</v>
      </c>
      <c r="AD182">
        <f ca="1">IF($C182-AD$1&lt;År1,0,AC181*(1-VLOOKUP($A182,[1]Hugst!$R$5:$W$9,MATCH(ROUNDUP((AD$1)/10,0)*10,[1]Hugst!$R$4:$W$4,0))))</f>
        <v>106.59301266208753</v>
      </c>
      <c r="AE182">
        <f ca="1">IF($C182-AE$1&lt;År1,0,AD181*(1-VLOOKUP($A182,[1]Hugst!$R$5:$W$9,MATCH(ROUNDUP((AE$1)/10,0)*10,[1]Hugst!$R$4:$W$4,0))))</f>
        <v>106.75219451005873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55000000000000004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69.149959973147048</v>
      </c>
      <c r="G183">
        <f ca="1">IF($C183-G$1&lt;År1,0,F182*(1-VLOOKUP($A183,[1]Hugst!$R$5:$W$9,MATCH(ROUNDUP((G$1)/10,0)*10,[1]Hugst!$R$4:$W$4,0))))</f>
        <v>69.290393421736468</v>
      </c>
      <c r="H183">
        <f ca="1">IF($C183-H$1&lt;År1,0,G182*(1-VLOOKUP($A183,[1]Hugst!$R$5:$W$9,MATCH(ROUNDUP((H$1)/10,0)*10,[1]Hugst!$R$4:$W$4,0))))</f>
        <v>69.431532566047878</v>
      </c>
      <c r="I183">
        <f ca="1">IF($C183-I$1&lt;År1,0,H182*(1-VLOOKUP($A183,[1]Hugst!$R$5:$W$9,MATCH(ROUNDUP((I$1)/10,0)*10,[1]Hugst!$R$4:$W$4,0))))</f>
        <v>69.573380952291387</v>
      </c>
      <c r="J183">
        <f ca="1">IF($C183-J$1&lt;År1,0,I182*(1-VLOOKUP($A183,[1]Hugst!$R$5:$W$9,MATCH(ROUNDUP((J$1)/10,0)*10,[1]Hugst!$R$4:$W$4,0))))</f>
        <v>69.715942144495131</v>
      </c>
      <c r="K183">
        <f ca="1">IF($C183-K$1&lt;År1,0,J182*(1-VLOOKUP($A183,[1]Hugst!$R$5:$W$9,MATCH(ROUNDUP((K$1)/10,0)*10,[1]Hugst!$R$4:$W$4,0))))</f>
        <v>69.859219724599853</v>
      </c>
      <c r="L183">
        <f ca="1">IF($C183-L$1&lt;År1,0,K182*(1-VLOOKUP($A183,[1]Hugst!$R$5:$W$9,MATCH(ROUNDUP((L$1)/10,0)*10,[1]Hugst!$R$4:$W$4,0))))</f>
        <v>70.003217292543724</v>
      </c>
      <c r="M183">
        <f ca="1">IF($C183-M$1&lt;År1,0,L182*(1-VLOOKUP($A183,[1]Hugst!$R$5:$W$9,MATCH(ROUNDUP((M$1)/10,0)*10,[1]Hugst!$R$4:$W$4,0))))</f>
        <v>70.147938466356578</v>
      </c>
      <c r="N183">
        <f ca="1">IF($C183-N$1&lt;År1,0,M182*(1-VLOOKUP($A183,[1]Hugst!$R$5:$W$9,MATCH(ROUNDUP((N$1)/10,0)*10,[1]Hugst!$R$4:$W$4,0))))</f>
        <v>70.293386882250417</v>
      </c>
      <c r="O183">
        <f ca="1">IF($C183-O$1&lt;År1,0,N182*(1-VLOOKUP($A183,[1]Hugst!$R$5:$W$9,MATCH(ROUNDUP((O$1)/10,0)*10,[1]Hugst!$R$4:$W$4,0))))</f>
        <v>70.439566194704895</v>
      </c>
      <c r="P183">
        <f ca="1">IF($C183-P$1&lt;År1,0,O182*(1-VLOOKUP($A183,[1]Hugst!$R$5:$W$9,MATCH(ROUNDUP((P$1)/10,0)*10,[1]Hugst!$R$4:$W$4,0))))</f>
        <v>70.586480076568961</v>
      </c>
      <c r="Q183">
        <f ca="1">IF($C183-Q$1&lt;År1,0,P182*(1-VLOOKUP($A183,[1]Hugst!$R$5:$W$9,MATCH(ROUNDUP((Q$1)/10,0)*10,[1]Hugst!$R$4:$W$4,0))))</f>
        <v>70.734132219146801</v>
      </c>
      <c r="R183">
        <f ca="1">IF($C183-R$1&lt;År1,0,Q182*(1-VLOOKUP($A183,[1]Hugst!$R$5:$W$9,MATCH(ROUNDUP((R$1)/10,0)*10,[1]Hugst!$R$4:$W$4,0))))</f>
        <v>70.882526332289189</v>
      </c>
      <c r="S183">
        <f ca="1">IF($C183-S$1&lt;År1,0,R182*(1-VLOOKUP($A183,[1]Hugst!$R$5:$W$9,MATCH(ROUNDUP((S$1)/10,0)*10,[1]Hugst!$R$4:$W$4,0))))</f>
        <v>71.031666144492959</v>
      </c>
      <c r="T183">
        <f ca="1">IF($C183-T$1&lt;År1,0,S182*(1-VLOOKUP($A183,[1]Hugst!$R$5:$W$9,MATCH(ROUNDUP((T$1)/10,0)*10,[1]Hugst!$R$4:$W$4,0))))</f>
        <v>71.181555402989858</v>
      </c>
      <c r="U183">
        <f ca="1">IF($C183-U$1&lt;År1,0,T182*(1-VLOOKUP($A183,[1]Hugst!$R$5:$W$9,MATCH(ROUNDUP((U$1)/10,0)*10,[1]Hugst!$R$4:$W$4,0))))</f>
        <v>71.332197873839419</v>
      </c>
      <c r="V183">
        <f ca="1">IF($C183-V$1&lt;År1,0,U182*(1-VLOOKUP($A183,[1]Hugst!$R$5:$W$9,MATCH(ROUNDUP((V$1)/10,0)*10,[1]Hugst!$R$4:$W$4,0))))</f>
        <v>105.19571855415381</v>
      </c>
      <c r="W183">
        <f ca="1">IF($C183-W$1&lt;År1,0,V182*(1-VLOOKUP($A183,[1]Hugst!$R$5:$W$9,MATCH(ROUNDUP((W$1)/10,0)*10,[1]Hugst!$R$4:$W$4,0))))</f>
        <v>105.34787882369238</v>
      </c>
      <c r="X183">
        <f ca="1">IF($C183-X$1&lt;År1,0,W182*(1-VLOOKUP($A183,[1]Hugst!$R$5:$W$9,MATCH(ROUNDUP((X$1)/10,0)*10,[1]Hugst!$R$4:$W$4,0))))</f>
        <v>105.50080371770207</v>
      </c>
      <c r="Y183">
        <f ca="1">IF($C183-Y$1&lt;År1,0,X182*(1-VLOOKUP($A183,[1]Hugst!$R$5:$W$9,MATCH(ROUNDUP((Y$1)/10,0)*10,[1]Hugst!$R$4:$W$4,0))))</f>
        <v>105.65449707851479</v>
      </c>
      <c r="Z183">
        <f ca="1">IF($C183-Z$1&lt;År1,0,Y182*(1-VLOOKUP($A183,[1]Hugst!$R$5:$W$9,MATCH(ROUNDUP((Z$1)/10,0)*10,[1]Hugst!$R$4:$W$4,0))))</f>
        <v>105.80896276777605</v>
      </c>
      <c r="AA183">
        <f ca="1">IF($C183-AA$1&lt;År1,0,Z182*(1-VLOOKUP($A183,[1]Hugst!$R$5:$W$9,MATCH(ROUNDUP((AA$1)/10,0)*10,[1]Hugst!$R$4:$W$4,0))))</f>
        <v>105.96420466652819</v>
      </c>
      <c r="AB183">
        <f ca="1">IF($C183-AB$1&lt;År1,0,AA182*(1-VLOOKUP($A183,[1]Hugst!$R$5:$W$9,MATCH(ROUNDUP((AB$1)/10,0)*10,[1]Hugst!$R$4:$W$4,0))))</f>
        <v>106.12022667532625</v>
      </c>
      <c r="AC183">
        <f ca="1">IF($C183-AC$1&lt;År1,0,AB182*(1-VLOOKUP($A183,[1]Hugst!$R$5:$W$9,MATCH(ROUNDUP((AC$1)/10,0)*10,[1]Hugst!$R$4:$W$4,0))))</f>
        <v>106.27703271431785</v>
      </c>
      <c r="AD183">
        <f ca="1">IF($C183-AD$1&lt;År1,0,AC182*(1-VLOOKUP($A183,[1]Hugst!$R$5:$W$9,MATCH(ROUNDUP((AD$1)/10,0)*10,[1]Hugst!$R$4:$W$4,0))))</f>
        <v>106.4346267233563</v>
      </c>
      <c r="AE183">
        <f ca="1">IF($C183-AE$1&lt;År1,0,AD182*(1-VLOOKUP($A183,[1]Hugst!$R$5:$W$9,MATCH(ROUNDUP((AE$1)/10,0)*10,[1]Hugst!$R$4:$W$4,0))))</f>
        <v>106.59301266208753</v>
      </c>
      <c r="AF183">
        <f ca="1">IF($C183-AF$1&lt;År1,0,AE182*(1-VLOOKUP($A183,[1]Hugst!$R$5:$W$9,MATCH(ROUNDUP((AF$1)/10,0)*10,[1]Hugst!$R$4:$W$4,0))))</f>
        <v>106.75219451005873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55000000000000004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69.010228691797948</v>
      </c>
      <c r="G184">
        <f ca="1">IF($C184-G$1&lt;År1,0,F183*(1-VLOOKUP($A184,[1]Hugst!$R$5:$W$9,MATCH(ROUNDUP((G$1)/10,0)*10,[1]Hugst!$R$4:$W$4,0))))</f>
        <v>69.149959973147048</v>
      </c>
      <c r="H184">
        <f ca="1">IF($C184-H$1&lt;År1,0,G183*(1-VLOOKUP($A184,[1]Hugst!$R$5:$W$9,MATCH(ROUNDUP((H$1)/10,0)*10,[1]Hugst!$R$4:$W$4,0))))</f>
        <v>69.290393421736468</v>
      </c>
      <c r="I184">
        <f ca="1">IF($C184-I$1&lt;År1,0,H183*(1-VLOOKUP($A184,[1]Hugst!$R$5:$W$9,MATCH(ROUNDUP((I$1)/10,0)*10,[1]Hugst!$R$4:$W$4,0))))</f>
        <v>69.431532566047878</v>
      </c>
      <c r="J184">
        <f ca="1">IF($C184-J$1&lt;År1,0,I183*(1-VLOOKUP($A184,[1]Hugst!$R$5:$W$9,MATCH(ROUNDUP((J$1)/10,0)*10,[1]Hugst!$R$4:$W$4,0))))</f>
        <v>69.573380952291387</v>
      </c>
      <c r="K184">
        <f ca="1">IF($C184-K$1&lt;År1,0,J183*(1-VLOOKUP($A184,[1]Hugst!$R$5:$W$9,MATCH(ROUNDUP((K$1)/10,0)*10,[1]Hugst!$R$4:$W$4,0))))</f>
        <v>69.715942144495131</v>
      </c>
      <c r="L184">
        <f ca="1">IF($C184-L$1&lt;År1,0,K183*(1-VLOOKUP($A184,[1]Hugst!$R$5:$W$9,MATCH(ROUNDUP((L$1)/10,0)*10,[1]Hugst!$R$4:$W$4,0))))</f>
        <v>69.859219724599853</v>
      </c>
      <c r="M184">
        <f ca="1">IF($C184-M$1&lt;År1,0,L183*(1-VLOOKUP($A184,[1]Hugst!$R$5:$W$9,MATCH(ROUNDUP((M$1)/10,0)*10,[1]Hugst!$R$4:$W$4,0))))</f>
        <v>70.003217292543724</v>
      </c>
      <c r="N184">
        <f ca="1">IF($C184-N$1&lt;År1,0,M183*(1-VLOOKUP($A184,[1]Hugst!$R$5:$W$9,MATCH(ROUNDUP((N$1)/10,0)*10,[1]Hugst!$R$4:$W$4,0))))</f>
        <v>70.147938466356578</v>
      </c>
      <c r="O184">
        <f ca="1">IF($C184-O$1&lt;År1,0,N183*(1-VLOOKUP($A184,[1]Hugst!$R$5:$W$9,MATCH(ROUNDUP((O$1)/10,0)*10,[1]Hugst!$R$4:$W$4,0))))</f>
        <v>70.293386882250417</v>
      </c>
      <c r="P184">
        <f ca="1">IF($C184-P$1&lt;År1,0,O183*(1-VLOOKUP($A184,[1]Hugst!$R$5:$W$9,MATCH(ROUNDUP((P$1)/10,0)*10,[1]Hugst!$R$4:$W$4,0))))</f>
        <v>70.439566194704895</v>
      </c>
      <c r="Q184">
        <f ca="1">IF($C184-Q$1&lt;År1,0,P183*(1-VLOOKUP($A184,[1]Hugst!$R$5:$W$9,MATCH(ROUNDUP((Q$1)/10,0)*10,[1]Hugst!$R$4:$W$4,0))))</f>
        <v>70.586480076568961</v>
      </c>
      <c r="R184">
        <f ca="1">IF($C184-R$1&lt;År1,0,Q183*(1-VLOOKUP($A184,[1]Hugst!$R$5:$W$9,MATCH(ROUNDUP((R$1)/10,0)*10,[1]Hugst!$R$4:$W$4,0))))</f>
        <v>70.734132219146801</v>
      </c>
      <c r="S184">
        <f ca="1">IF($C184-S$1&lt;År1,0,R183*(1-VLOOKUP($A184,[1]Hugst!$R$5:$W$9,MATCH(ROUNDUP((S$1)/10,0)*10,[1]Hugst!$R$4:$W$4,0))))</f>
        <v>70.882526332289189</v>
      </c>
      <c r="T184">
        <f ca="1">IF($C184-T$1&lt;År1,0,S183*(1-VLOOKUP($A184,[1]Hugst!$R$5:$W$9,MATCH(ROUNDUP((T$1)/10,0)*10,[1]Hugst!$R$4:$W$4,0))))</f>
        <v>71.031666144492959</v>
      </c>
      <c r="U184">
        <f ca="1">IF($C184-U$1&lt;År1,0,T183*(1-VLOOKUP($A184,[1]Hugst!$R$5:$W$9,MATCH(ROUNDUP((U$1)/10,0)*10,[1]Hugst!$R$4:$W$4,0))))</f>
        <v>71.181555402989858</v>
      </c>
      <c r="V184">
        <f ca="1">IF($C184-V$1&lt;År1,0,U183*(1-VLOOKUP($A184,[1]Hugst!$R$5:$W$9,MATCH(ROUNDUP((V$1)/10,0)*10,[1]Hugst!$R$4:$W$4,0))))</f>
        <v>71.332197873839419</v>
      </c>
      <c r="W184">
        <f ca="1">IF($C184-W$1&lt;År1,0,V183*(1-VLOOKUP($A184,[1]Hugst!$R$5:$W$9,MATCH(ROUNDUP((W$1)/10,0)*10,[1]Hugst!$R$4:$W$4,0))))</f>
        <v>105.19571855415381</v>
      </c>
      <c r="X184">
        <f ca="1">IF($C184-X$1&lt;År1,0,W183*(1-VLOOKUP($A184,[1]Hugst!$R$5:$W$9,MATCH(ROUNDUP((X$1)/10,0)*10,[1]Hugst!$R$4:$W$4,0))))</f>
        <v>105.34787882369238</v>
      </c>
      <c r="Y184">
        <f ca="1">IF($C184-Y$1&lt;År1,0,X183*(1-VLOOKUP($A184,[1]Hugst!$R$5:$W$9,MATCH(ROUNDUP((Y$1)/10,0)*10,[1]Hugst!$R$4:$W$4,0))))</f>
        <v>105.50080371770207</v>
      </c>
      <c r="Z184">
        <f ca="1">IF($C184-Z$1&lt;År1,0,Y183*(1-VLOOKUP($A184,[1]Hugst!$R$5:$W$9,MATCH(ROUNDUP((Z$1)/10,0)*10,[1]Hugst!$R$4:$W$4,0))))</f>
        <v>105.65449707851479</v>
      </c>
      <c r="AA184">
        <f ca="1">IF($C184-AA$1&lt;År1,0,Z183*(1-VLOOKUP($A184,[1]Hugst!$R$5:$W$9,MATCH(ROUNDUP((AA$1)/10,0)*10,[1]Hugst!$R$4:$W$4,0))))</f>
        <v>105.80896276777605</v>
      </c>
      <c r="AB184">
        <f ca="1">IF($C184-AB$1&lt;År1,0,AA183*(1-VLOOKUP($A184,[1]Hugst!$R$5:$W$9,MATCH(ROUNDUP((AB$1)/10,0)*10,[1]Hugst!$R$4:$W$4,0))))</f>
        <v>105.96420466652819</v>
      </c>
      <c r="AC184">
        <f ca="1">IF($C184-AC$1&lt;År1,0,AB183*(1-VLOOKUP($A184,[1]Hugst!$R$5:$W$9,MATCH(ROUNDUP((AC$1)/10,0)*10,[1]Hugst!$R$4:$W$4,0))))</f>
        <v>106.12022667532625</v>
      </c>
      <c r="AD184">
        <f ca="1">IF($C184-AD$1&lt;År1,0,AC183*(1-VLOOKUP($A184,[1]Hugst!$R$5:$W$9,MATCH(ROUNDUP((AD$1)/10,0)*10,[1]Hugst!$R$4:$W$4,0))))</f>
        <v>106.27703271431785</v>
      </c>
      <c r="AE184">
        <f ca="1">IF($C184-AE$1&lt;År1,0,AD183*(1-VLOOKUP($A184,[1]Hugst!$R$5:$W$9,MATCH(ROUNDUP((AE$1)/10,0)*10,[1]Hugst!$R$4:$W$4,0))))</f>
        <v>106.4346267233563</v>
      </c>
      <c r="AF184">
        <f ca="1">IF($C184-AF$1&lt;År1,0,AE183*(1-VLOOKUP($A184,[1]Hugst!$R$5:$W$9,MATCH(ROUNDUP((AF$1)/10,0)*10,[1]Hugst!$R$4:$W$4,0))))</f>
        <v>106.59301266208753</v>
      </c>
      <c r="AG184">
        <f ca="1">IF($C184-AG$1&lt;År1,0,AF183*(1-VLOOKUP($A184,[1]Hugst!$R$5:$W$9,MATCH(ROUNDUP((AG$1)/10,0)*10,[1]Hugst!$R$4:$W$4,0))))</f>
        <v>106.75219451005873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55000000000000004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68.871196066858175</v>
      </c>
      <c r="G185">
        <f ca="1">IF($C185-G$1&lt;År1,0,F184*(1-VLOOKUP($A185,[1]Hugst!$R$5:$W$9,MATCH(ROUNDUP((G$1)/10,0)*10,[1]Hugst!$R$4:$W$4,0))))</f>
        <v>69.010228691797948</v>
      </c>
      <c r="H185">
        <f ca="1">IF($C185-H$1&lt;År1,0,G184*(1-VLOOKUP($A185,[1]Hugst!$R$5:$W$9,MATCH(ROUNDUP((H$1)/10,0)*10,[1]Hugst!$R$4:$W$4,0))))</f>
        <v>69.149959973147048</v>
      </c>
      <c r="I185">
        <f ca="1">IF($C185-I$1&lt;År1,0,H184*(1-VLOOKUP($A185,[1]Hugst!$R$5:$W$9,MATCH(ROUNDUP((I$1)/10,0)*10,[1]Hugst!$R$4:$W$4,0))))</f>
        <v>69.290393421736468</v>
      </c>
      <c r="J185">
        <f ca="1">IF($C185-J$1&lt;År1,0,I184*(1-VLOOKUP($A185,[1]Hugst!$R$5:$W$9,MATCH(ROUNDUP((J$1)/10,0)*10,[1]Hugst!$R$4:$W$4,0))))</f>
        <v>69.431532566047878</v>
      </c>
      <c r="K185">
        <f ca="1">IF($C185-K$1&lt;År1,0,J184*(1-VLOOKUP($A185,[1]Hugst!$R$5:$W$9,MATCH(ROUNDUP((K$1)/10,0)*10,[1]Hugst!$R$4:$W$4,0))))</f>
        <v>69.573380952291387</v>
      </c>
      <c r="L185">
        <f ca="1">IF($C185-L$1&lt;År1,0,K184*(1-VLOOKUP($A185,[1]Hugst!$R$5:$W$9,MATCH(ROUNDUP((L$1)/10,0)*10,[1]Hugst!$R$4:$W$4,0))))</f>
        <v>69.715942144495131</v>
      </c>
      <c r="M185">
        <f ca="1">IF($C185-M$1&lt;År1,0,L184*(1-VLOOKUP($A185,[1]Hugst!$R$5:$W$9,MATCH(ROUNDUP((M$1)/10,0)*10,[1]Hugst!$R$4:$W$4,0))))</f>
        <v>69.859219724599853</v>
      </c>
      <c r="N185">
        <f ca="1">IF($C185-N$1&lt;År1,0,M184*(1-VLOOKUP($A185,[1]Hugst!$R$5:$W$9,MATCH(ROUNDUP((N$1)/10,0)*10,[1]Hugst!$R$4:$W$4,0))))</f>
        <v>70.003217292543724</v>
      </c>
      <c r="O185">
        <f ca="1">IF($C185-O$1&lt;År1,0,N184*(1-VLOOKUP($A185,[1]Hugst!$R$5:$W$9,MATCH(ROUNDUP((O$1)/10,0)*10,[1]Hugst!$R$4:$W$4,0))))</f>
        <v>70.147938466356578</v>
      </c>
      <c r="P185">
        <f ca="1">IF($C185-P$1&lt;År1,0,O184*(1-VLOOKUP($A185,[1]Hugst!$R$5:$W$9,MATCH(ROUNDUP((P$1)/10,0)*10,[1]Hugst!$R$4:$W$4,0))))</f>
        <v>70.293386882250417</v>
      </c>
      <c r="Q185">
        <f ca="1">IF($C185-Q$1&lt;År1,0,P184*(1-VLOOKUP($A185,[1]Hugst!$R$5:$W$9,MATCH(ROUNDUP((Q$1)/10,0)*10,[1]Hugst!$R$4:$W$4,0))))</f>
        <v>70.439566194704895</v>
      </c>
      <c r="R185">
        <f ca="1">IF($C185-R$1&lt;År1,0,Q184*(1-VLOOKUP($A185,[1]Hugst!$R$5:$W$9,MATCH(ROUNDUP((R$1)/10,0)*10,[1]Hugst!$R$4:$W$4,0))))</f>
        <v>70.586480076568961</v>
      </c>
      <c r="S185">
        <f ca="1">IF($C185-S$1&lt;År1,0,R184*(1-VLOOKUP($A185,[1]Hugst!$R$5:$W$9,MATCH(ROUNDUP((S$1)/10,0)*10,[1]Hugst!$R$4:$W$4,0))))</f>
        <v>70.734132219146801</v>
      </c>
      <c r="T185">
        <f ca="1">IF($C185-T$1&lt;År1,0,S184*(1-VLOOKUP($A185,[1]Hugst!$R$5:$W$9,MATCH(ROUNDUP((T$1)/10,0)*10,[1]Hugst!$R$4:$W$4,0))))</f>
        <v>70.882526332289189</v>
      </c>
      <c r="U185">
        <f ca="1">IF($C185-U$1&lt;År1,0,T184*(1-VLOOKUP($A185,[1]Hugst!$R$5:$W$9,MATCH(ROUNDUP((U$1)/10,0)*10,[1]Hugst!$R$4:$W$4,0))))</f>
        <v>71.031666144492959</v>
      </c>
      <c r="V185">
        <f ca="1">IF($C185-V$1&lt;År1,0,U184*(1-VLOOKUP($A185,[1]Hugst!$R$5:$W$9,MATCH(ROUNDUP((V$1)/10,0)*10,[1]Hugst!$R$4:$W$4,0))))</f>
        <v>71.181555402989858</v>
      </c>
      <c r="W185">
        <f ca="1">IF($C185-W$1&lt;År1,0,V184*(1-VLOOKUP($A185,[1]Hugst!$R$5:$W$9,MATCH(ROUNDUP((W$1)/10,0)*10,[1]Hugst!$R$4:$W$4,0))))</f>
        <v>71.332197873839419</v>
      </c>
      <c r="X185">
        <f ca="1">IF($C185-X$1&lt;År1,0,W184*(1-VLOOKUP($A185,[1]Hugst!$R$5:$W$9,MATCH(ROUNDUP((X$1)/10,0)*10,[1]Hugst!$R$4:$W$4,0))))</f>
        <v>105.19571855415381</v>
      </c>
      <c r="Y185">
        <f ca="1">IF($C185-Y$1&lt;År1,0,X184*(1-VLOOKUP($A185,[1]Hugst!$R$5:$W$9,MATCH(ROUNDUP((Y$1)/10,0)*10,[1]Hugst!$R$4:$W$4,0))))</f>
        <v>105.34787882369238</v>
      </c>
      <c r="Z185">
        <f ca="1">IF($C185-Z$1&lt;År1,0,Y184*(1-VLOOKUP($A185,[1]Hugst!$R$5:$W$9,MATCH(ROUNDUP((Z$1)/10,0)*10,[1]Hugst!$R$4:$W$4,0))))</f>
        <v>105.50080371770207</v>
      </c>
      <c r="AA185">
        <f ca="1">IF($C185-AA$1&lt;År1,0,Z184*(1-VLOOKUP($A185,[1]Hugst!$R$5:$W$9,MATCH(ROUNDUP((AA$1)/10,0)*10,[1]Hugst!$R$4:$W$4,0))))</f>
        <v>105.65449707851479</v>
      </c>
      <c r="AB185">
        <f ca="1">IF($C185-AB$1&lt;År1,0,AA184*(1-VLOOKUP($A185,[1]Hugst!$R$5:$W$9,MATCH(ROUNDUP((AB$1)/10,0)*10,[1]Hugst!$R$4:$W$4,0))))</f>
        <v>105.80896276777605</v>
      </c>
      <c r="AC185">
        <f ca="1">IF($C185-AC$1&lt;År1,0,AB184*(1-VLOOKUP($A185,[1]Hugst!$R$5:$W$9,MATCH(ROUNDUP((AC$1)/10,0)*10,[1]Hugst!$R$4:$W$4,0))))</f>
        <v>105.96420466652819</v>
      </c>
      <c r="AD185">
        <f ca="1">IF($C185-AD$1&lt;År1,0,AC184*(1-VLOOKUP($A185,[1]Hugst!$R$5:$W$9,MATCH(ROUNDUP((AD$1)/10,0)*10,[1]Hugst!$R$4:$W$4,0))))</f>
        <v>106.12022667532625</v>
      </c>
      <c r="AE185">
        <f ca="1">IF($C185-AE$1&lt;År1,0,AD184*(1-VLOOKUP($A185,[1]Hugst!$R$5:$W$9,MATCH(ROUNDUP((AE$1)/10,0)*10,[1]Hugst!$R$4:$W$4,0))))</f>
        <v>106.27703271431785</v>
      </c>
      <c r="AF185">
        <f ca="1">IF($C185-AF$1&lt;År1,0,AE184*(1-VLOOKUP($A185,[1]Hugst!$R$5:$W$9,MATCH(ROUNDUP((AF$1)/10,0)*10,[1]Hugst!$R$4:$W$4,0))))</f>
        <v>106.4346267233563</v>
      </c>
      <c r="AG185">
        <f ca="1">IF($C185-AG$1&lt;År1,0,AF184*(1-VLOOKUP($A185,[1]Hugst!$R$5:$W$9,MATCH(ROUNDUP((AG$1)/10,0)*10,[1]Hugst!$R$4:$W$4,0))))</f>
        <v>106.59301266208753</v>
      </c>
      <c r="AH185">
        <f ca="1">IF($C185-AH$1&lt;År1,0,AG184*(1-VLOOKUP($A185,[1]Hugst!$R$5:$W$9,MATCH(ROUNDUP((AH$1)/10,0)*10,[1]Hugst!$R$4:$W$4,0))))</f>
        <v>106.75219451005873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55000000000000004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68.73285860504339</v>
      </c>
      <c r="G186">
        <f ca="1">IF($C186-G$1&lt;År1,0,F185*(1-VLOOKUP($A186,[1]Hugst!$R$5:$W$9,MATCH(ROUNDUP((G$1)/10,0)*10,[1]Hugst!$R$4:$W$4,0))))</f>
        <v>68.871196066858175</v>
      </c>
      <c r="H186">
        <f ca="1">IF($C186-H$1&lt;År1,0,G185*(1-VLOOKUP($A186,[1]Hugst!$R$5:$W$9,MATCH(ROUNDUP((H$1)/10,0)*10,[1]Hugst!$R$4:$W$4,0))))</f>
        <v>69.010228691797948</v>
      </c>
      <c r="I186">
        <f ca="1">IF($C186-I$1&lt;År1,0,H185*(1-VLOOKUP($A186,[1]Hugst!$R$5:$W$9,MATCH(ROUNDUP((I$1)/10,0)*10,[1]Hugst!$R$4:$W$4,0))))</f>
        <v>69.149959973147048</v>
      </c>
      <c r="J186">
        <f ca="1">IF($C186-J$1&lt;År1,0,I185*(1-VLOOKUP($A186,[1]Hugst!$R$5:$W$9,MATCH(ROUNDUP((J$1)/10,0)*10,[1]Hugst!$R$4:$W$4,0))))</f>
        <v>69.290393421736468</v>
      </c>
      <c r="K186">
        <f ca="1">IF($C186-K$1&lt;År1,0,J185*(1-VLOOKUP($A186,[1]Hugst!$R$5:$W$9,MATCH(ROUNDUP((K$1)/10,0)*10,[1]Hugst!$R$4:$W$4,0))))</f>
        <v>69.431532566047878</v>
      </c>
      <c r="L186">
        <f ca="1">IF($C186-L$1&lt;År1,0,K185*(1-VLOOKUP($A186,[1]Hugst!$R$5:$W$9,MATCH(ROUNDUP((L$1)/10,0)*10,[1]Hugst!$R$4:$W$4,0))))</f>
        <v>69.573380952291387</v>
      </c>
      <c r="M186">
        <f ca="1">IF($C186-M$1&lt;År1,0,L185*(1-VLOOKUP($A186,[1]Hugst!$R$5:$W$9,MATCH(ROUNDUP((M$1)/10,0)*10,[1]Hugst!$R$4:$W$4,0))))</f>
        <v>69.715942144495131</v>
      </c>
      <c r="N186">
        <f ca="1">IF($C186-N$1&lt;År1,0,M185*(1-VLOOKUP($A186,[1]Hugst!$R$5:$W$9,MATCH(ROUNDUP((N$1)/10,0)*10,[1]Hugst!$R$4:$W$4,0))))</f>
        <v>69.859219724599853</v>
      </c>
      <c r="O186">
        <f ca="1">IF($C186-O$1&lt;År1,0,N185*(1-VLOOKUP($A186,[1]Hugst!$R$5:$W$9,MATCH(ROUNDUP((O$1)/10,0)*10,[1]Hugst!$R$4:$W$4,0))))</f>
        <v>70.003217292543724</v>
      </c>
      <c r="P186">
        <f ca="1">IF($C186-P$1&lt;År1,0,O185*(1-VLOOKUP($A186,[1]Hugst!$R$5:$W$9,MATCH(ROUNDUP((P$1)/10,0)*10,[1]Hugst!$R$4:$W$4,0))))</f>
        <v>70.147938466356578</v>
      </c>
      <c r="Q186">
        <f ca="1">IF($C186-Q$1&lt;År1,0,P185*(1-VLOOKUP($A186,[1]Hugst!$R$5:$W$9,MATCH(ROUNDUP((Q$1)/10,0)*10,[1]Hugst!$R$4:$W$4,0))))</f>
        <v>70.293386882250417</v>
      </c>
      <c r="R186">
        <f ca="1">IF($C186-R$1&lt;År1,0,Q185*(1-VLOOKUP($A186,[1]Hugst!$R$5:$W$9,MATCH(ROUNDUP((R$1)/10,0)*10,[1]Hugst!$R$4:$W$4,0))))</f>
        <v>70.439566194704895</v>
      </c>
      <c r="S186">
        <f ca="1">IF($C186-S$1&lt;År1,0,R185*(1-VLOOKUP($A186,[1]Hugst!$R$5:$W$9,MATCH(ROUNDUP((S$1)/10,0)*10,[1]Hugst!$R$4:$W$4,0))))</f>
        <v>70.586480076568961</v>
      </c>
      <c r="T186">
        <f ca="1">IF($C186-T$1&lt;År1,0,S185*(1-VLOOKUP($A186,[1]Hugst!$R$5:$W$9,MATCH(ROUNDUP((T$1)/10,0)*10,[1]Hugst!$R$4:$W$4,0))))</f>
        <v>70.734132219146801</v>
      </c>
      <c r="U186">
        <f ca="1">IF($C186-U$1&lt;År1,0,T185*(1-VLOOKUP($A186,[1]Hugst!$R$5:$W$9,MATCH(ROUNDUP((U$1)/10,0)*10,[1]Hugst!$R$4:$W$4,0))))</f>
        <v>70.882526332289189</v>
      </c>
      <c r="V186">
        <f ca="1">IF($C186-V$1&lt;År1,0,U185*(1-VLOOKUP($A186,[1]Hugst!$R$5:$W$9,MATCH(ROUNDUP((V$1)/10,0)*10,[1]Hugst!$R$4:$W$4,0))))</f>
        <v>71.031666144492959</v>
      </c>
      <c r="W186">
        <f ca="1">IF($C186-W$1&lt;År1,0,V185*(1-VLOOKUP($A186,[1]Hugst!$R$5:$W$9,MATCH(ROUNDUP((W$1)/10,0)*10,[1]Hugst!$R$4:$W$4,0))))</f>
        <v>71.181555402989858</v>
      </c>
      <c r="X186">
        <f ca="1">IF($C186-X$1&lt;År1,0,W185*(1-VLOOKUP($A186,[1]Hugst!$R$5:$W$9,MATCH(ROUNDUP((X$1)/10,0)*10,[1]Hugst!$R$4:$W$4,0))))</f>
        <v>71.332197873839419</v>
      </c>
      <c r="Y186">
        <f ca="1">IF($C186-Y$1&lt;År1,0,X185*(1-VLOOKUP($A186,[1]Hugst!$R$5:$W$9,MATCH(ROUNDUP((Y$1)/10,0)*10,[1]Hugst!$R$4:$W$4,0))))</f>
        <v>105.19571855415381</v>
      </c>
      <c r="Z186">
        <f ca="1">IF($C186-Z$1&lt;År1,0,Y185*(1-VLOOKUP($A186,[1]Hugst!$R$5:$W$9,MATCH(ROUNDUP((Z$1)/10,0)*10,[1]Hugst!$R$4:$W$4,0))))</f>
        <v>105.34787882369238</v>
      </c>
      <c r="AA186">
        <f ca="1">IF($C186-AA$1&lt;År1,0,Z185*(1-VLOOKUP($A186,[1]Hugst!$R$5:$W$9,MATCH(ROUNDUP((AA$1)/10,0)*10,[1]Hugst!$R$4:$W$4,0))))</f>
        <v>105.50080371770207</v>
      </c>
      <c r="AB186">
        <f ca="1">IF($C186-AB$1&lt;År1,0,AA185*(1-VLOOKUP($A186,[1]Hugst!$R$5:$W$9,MATCH(ROUNDUP((AB$1)/10,0)*10,[1]Hugst!$R$4:$W$4,0))))</f>
        <v>105.65449707851479</v>
      </c>
      <c r="AC186">
        <f ca="1">IF($C186-AC$1&lt;År1,0,AB185*(1-VLOOKUP($A186,[1]Hugst!$R$5:$W$9,MATCH(ROUNDUP((AC$1)/10,0)*10,[1]Hugst!$R$4:$W$4,0))))</f>
        <v>105.80896276777605</v>
      </c>
      <c r="AD186">
        <f ca="1">IF($C186-AD$1&lt;År1,0,AC185*(1-VLOOKUP($A186,[1]Hugst!$R$5:$W$9,MATCH(ROUNDUP((AD$1)/10,0)*10,[1]Hugst!$R$4:$W$4,0))))</f>
        <v>105.96420466652819</v>
      </c>
      <c r="AE186">
        <f ca="1">IF($C186-AE$1&lt;År1,0,AD185*(1-VLOOKUP($A186,[1]Hugst!$R$5:$W$9,MATCH(ROUNDUP((AE$1)/10,0)*10,[1]Hugst!$R$4:$W$4,0))))</f>
        <v>106.12022667532625</v>
      </c>
      <c r="AF186">
        <f ca="1">IF($C186-AF$1&lt;År1,0,AE185*(1-VLOOKUP($A186,[1]Hugst!$R$5:$W$9,MATCH(ROUNDUP((AF$1)/10,0)*10,[1]Hugst!$R$4:$W$4,0))))</f>
        <v>106.27703271431785</v>
      </c>
      <c r="AG186">
        <f ca="1">IF($C186-AG$1&lt;År1,0,AF185*(1-VLOOKUP($A186,[1]Hugst!$R$5:$W$9,MATCH(ROUNDUP((AG$1)/10,0)*10,[1]Hugst!$R$4:$W$4,0))))</f>
        <v>106.4346267233563</v>
      </c>
      <c r="AH186">
        <f ca="1">IF($C186-AH$1&lt;År1,0,AG185*(1-VLOOKUP($A186,[1]Hugst!$R$5:$W$9,MATCH(ROUNDUP((AH$1)/10,0)*10,[1]Hugst!$R$4:$W$4,0))))</f>
        <v>106.59301266208753</v>
      </c>
      <c r="AI186">
        <f ca="1">IF($C186-AI$1&lt;År1,0,AH185*(1-VLOOKUP($A186,[1]Hugst!$R$5:$W$9,MATCH(ROUNDUP((AI$1)/10,0)*10,[1]Hugst!$R$4:$W$4,0))))</f>
        <v>106.75219451005873</v>
      </c>
      <c r="AJ186">
        <f>IF($C186-AJ$1&lt;År1,0,AI185*(1-VLOOKUP($A186,[1]Hugst!$R$5:$W$9,MATCH(ROUNDUP((AJ$1)/10,0)*10,[1]Hugst!$R$4:$W$4,0))))</f>
        <v>0</v>
      </c>
    </row>
    <row r="187" spans="1:36" x14ac:dyDescent="0.55000000000000004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0.1940948991091318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68.789307729645458</v>
      </c>
      <c r="G187">
        <f ca="1">IF($C187-G$1&lt;År1,0,F186*(1-VLOOKUP($A187,[1]Hugst!$R$5:$W$9,MATCH(ROUNDUP((G$1)/10,0)*10,[1]Hugst!$R$4:$W$4,0))))</f>
        <v>68.73285860504339</v>
      </c>
      <c r="H187">
        <f ca="1">IF($C187-H$1&lt;År1,0,G186*(1-VLOOKUP($A187,[1]Hugst!$R$5:$W$9,MATCH(ROUNDUP((H$1)/10,0)*10,[1]Hugst!$R$4:$W$4,0))))</f>
        <v>68.871196066858175</v>
      </c>
      <c r="I187">
        <f ca="1">IF($C187-I$1&lt;År1,0,H186*(1-VLOOKUP($A187,[1]Hugst!$R$5:$W$9,MATCH(ROUNDUP((I$1)/10,0)*10,[1]Hugst!$R$4:$W$4,0))))</f>
        <v>69.010228691797948</v>
      </c>
      <c r="J187">
        <f ca="1">IF($C187-J$1&lt;År1,0,I186*(1-VLOOKUP($A187,[1]Hugst!$R$5:$W$9,MATCH(ROUNDUP((J$1)/10,0)*10,[1]Hugst!$R$4:$W$4,0))))</f>
        <v>69.149959973147048</v>
      </c>
      <c r="K187">
        <f ca="1">IF($C187-K$1&lt;År1,0,J186*(1-VLOOKUP($A187,[1]Hugst!$R$5:$W$9,MATCH(ROUNDUP((K$1)/10,0)*10,[1]Hugst!$R$4:$W$4,0))))</f>
        <v>69.290393421736468</v>
      </c>
      <c r="L187">
        <f ca="1">IF($C187-L$1&lt;År1,0,K186*(1-VLOOKUP($A187,[1]Hugst!$R$5:$W$9,MATCH(ROUNDUP((L$1)/10,0)*10,[1]Hugst!$R$4:$W$4,0))))</f>
        <v>69.431532566047878</v>
      </c>
      <c r="M187">
        <f ca="1">IF($C187-M$1&lt;År1,0,L186*(1-VLOOKUP($A187,[1]Hugst!$R$5:$W$9,MATCH(ROUNDUP((M$1)/10,0)*10,[1]Hugst!$R$4:$W$4,0))))</f>
        <v>69.573380952291387</v>
      </c>
      <c r="N187">
        <f ca="1">IF($C187-N$1&lt;År1,0,M186*(1-VLOOKUP($A187,[1]Hugst!$R$5:$W$9,MATCH(ROUNDUP((N$1)/10,0)*10,[1]Hugst!$R$4:$W$4,0))))</f>
        <v>69.715942144495131</v>
      </c>
      <c r="O187">
        <f ca="1">IF($C187-O$1&lt;År1,0,N186*(1-VLOOKUP($A187,[1]Hugst!$R$5:$W$9,MATCH(ROUNDUP((O$1)/10,0)*10,[1]Hugst!$R$4:$W$4,0))))</f>
        <v>69.859219724599853</v>
      </c>
      <c r="P187">
        <f ca="1">IF($C187-P$1&lt;År1,0,O186*(1-VLOOKUP($A187,[1]Hugst!$R$5:$W$9,MATCH(ROUNDUP((P$1)/10,0)*10,[1]Hugst!$R$4:$W$4,0))))</f>
        <v>70.003217292543724</v>
      </c>
      <c r="Q187">
        <f ca="1">IF($C187-Q$1&lt;År1,0,P186*(1-VLOOKUP($A187,[1]Hugst!$R$5:$W$9,MATCH(ROUNDUP((Q$1)/10,0)*10,[1]Hugst!$R$4:$W$4,0))))</f>
        <v>70.147938466356578</v>
      </c>
      <c r="R187">
        <f ca="1">IF($C187-R$1&lt;År1,0,Q186*(1-VLOOKUP($A187,[1]Hugst!$R$5:$W$9,MATCH(ROUNDUP((R$1)/10,0)*10,[1]Hugst!$R$4:$W$4,0))))</f>
        <v>70.293386882250417</v>
      </c>
      <c r="S187">
        <f ca="1">IF($C187-S$1&lt;År1,0,R186*(1-VLOOKUP($A187,[1]Hugst!$R$5:$W$9,MATCH(ROUNDUP((S$1)/10,0)*10,[1]Hugst!$R$4:$W$4,0))))</f>
        <v>70.439566194704895</v>
      </c>
      <c r="T187">
        <f ca="1">IF($C187-T$1&lt;År1,0,S186*(1-VLOOKUP($A187,[1]Hugst!$R$5:$W$9,MATCH(ROUNDUP((T$1)/10,0)*10,[1]Hugst!$R$4:$W$4,0))))</f>
        <v>70.586480076568961</v>
      </c>
      <c r="U187">
        <f ca="1">IF($C187-U$1&lt;År1,0,T186*(1-VLOOKUP($A187,[1]Hugst!$R$5:$W$9,MATCH(ROUNDUP((U$1)/10,0)*10,[1]Hugst!$R$4:$W$4,0))))</f>
        <v>70.734132219146801</v>
      </c>
      <c r="V187">
        <f ca="1">IF($C187-V$1&lt;År1,0,U186*(1-VLOOKUP($A187,[1]Hugst!$R$5:$W$9,MATCH(ROUNDUP((V$1)/10,0)*10,[1]Hugst!$R$4:$W$4,0))))</f>
        <v>70.882526332289189</v>
      </c>
      <c r="W187">
        <f ca="1">IF($C187-W$1&lt;År1,0,V186*(1-VLOOKUP($A187,[1]Hugst!$R$5:$W$9,MATCH(ROUNDUP((W$1)/10,0)*10,[1]Hugst!$R$4:$W$4,0))))</f>
        <v>71.031666144492959</v>
      </c>
      <c r="X187">
        <f ca="1">IF($C187-X$1&lt;År1,0,W186*(1-VLOOKUP($A187,[1]Hugst!$R$5:$W$9,MATCH(ROUNDUP((X$1)/10,0)*10,[1]Hugst!$R$4:$W$4,0))))</f>
        <v>71.181555402989858</v>
      </c>
      <c r="Y187">
        <f ca="1">IF($C187-Y$1&lt;År1,0,X186*(1-VLOOKUP($A187,[1]Hugst!$R$5:$W$9,MATCH(ROUNDUP((Y$1)/10,0)*10,[1]Hugst!$R$4:$W$4,0))))</f>
        <v>71.332197873839419</v>
      </c>
      <c r="Z187">
        <f ca="1">IF($C187-Z$1&lt;År1,0,Y186*(1-VLOOKUP($A187,[1]Hugst!$R$5:$W$9,MATCH(ROUNDUP((Z$1)/10,0)*10,[1]Hugst!$R$4:$W$4,0))))</f>
        <v>105.19571855415381</v>
      </c>
      <c r="AA187">
        <f ca="1">IF($C187-AA$1&lt;År1,0,Z186*(1-VLOOKUP($A187,[1]Hugst!$R$5:$W$9,MATCH(ROUNDUP((AA$1)/10,0)*10,[1]Hugst!$R$4:$W$4,0))))</f>
        <v>105.34787882369238</v>
      </c>
      <c r="AB187">
        <f ca="1">IF($C187-AB$1&lt;År1,0,AA186*(1-VLOOKUP($A187,[1]Hugst!$R$5:$W$9,MATCH(ROUNDUP((AB$1)/10,0)*10,[1]Hugst!$R$4:$W$4,0))))</f>
        <v>105.50080371770207</v>
      </c>
      <c r="AC187">
        <f ca="1">IF($C187-AC$1&lt;År1,0,AB186*(1-VLOOKUP($A187,[1]Hugst!$R$5:$W$9,MATCH(ROUNDUP((AC$1)/10,0)*10,[1]Hugst!$R$4:$W$4,0))))</f>
        <v>105.65449707851479</v>
      </c>
      <c r="AD187">
        <f ca="1">IF($C187-AD$1&lt;År1,0,AC186*(1-VLOOKUP($A187,[1]Hugst!$R$5:$W$9,MATCH(ROUNDUP((AD$1)/10,0)*10,[1]Hugst!$R$4:$W$4,0))))</f>
        <v>105.80896276777605</v>
      </c>
      <c r="AE187">
        <f ca="1">IF($C187-AE$1&lt;År1,0,AD186*(1-VLOOKUP($A187,[1]Hugst!$R$5:$W$9,MATCH(ROUNDUP((AE$1)/10,0)*10,[1]Hugst!$R$4:$W$4,0))))</f>
        <v>105.96420466652819</v>
      </c>
      <c r="AF187">
        <f ca="1">IF($C187-AF$1&lt;År1,0,AE186*(1-VLOOKUP($A187,[1]Hugst!$R$5:$W$9,MATCH(ROUNDUP((AF$1)/10,0)*10,[1]Hugst!$R$4:$W$4,0))))</f>
        <v>106.12022667532625</v>
      </c>
      <c r="AG187">
        <f ca="1">IF($C187-AG$1&lt;År1,0,AF186*(1-VLOOKUP($A187,[1]Hugst!$R$5:$W$9,MATCH(ROUNDUP((AG$1)/10,0)*10,[1]Hugst!$R$4:$W$4,0))))</f>
        <v>106.27703271431785</v>
      </c>
      <c r="AH187">
        <f ca="1">IF($C187-AH$1&lt;År1,0,AG186*(1-VLOOKUP($A187,[1]Hugst!$R$5:$W$9,MATCH(ROUNDUP((AH$1)/10,0)*10,[1]Hugst!$R$4:$W$4,0))))</f>
        <v>106.4346267233563</v>
      </c>
      <c r="AI187">
        <f ca="1">IF($C187-AI$1&lt;År1,0,AH186*(1-VLOOKUP($A187,[1]Hugst!$R$5:$W$9,MATCH(ROUNDUP((AI$1)/10,0)*10,[1]Hugst!$R$4:$W$4,0))))</f>
        <v>106.59301266208753</v>
      </c>
      <c r="AJ187">
        <f ca="1">IF($C187-AJ$1&lt;År1,0,AI186*(1-VLOOKUP($A187,[1]Hugst!$R$5:$W$9,MATCH(ROUNDUP((AJ$1)/10,0)*10,[1]Hugst!$R$4:$W$4,0))))</f>
        <v>106.55809961094953</v>
      </c>
    </row>
    <row r="188" spans="1:36" x14ac:dyDescent="0.55000000000000004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5418.2891130458347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55000000000000004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5413.3946371775519</v>
      </c>
      <c r="G189">
        <f ca="1">IF($C189-G$1&lt;År1,0,F188*(1-VLOOKUP($A189,[1]Hugst!$R$5:$W$9,MATCH(ROUNDUP((G$1)/10,0)*10,[1]Hugst!$R$4:$W$4,0))))</f>
        <v>5418.2891130458347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55000000000000004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5408.5246336886621</v>
      </c>
      <c r="G190">
        <f ca="1">IF($C190-G$1&lt;År1,0,F189*(1-VLOOKUP($A190,[1]Hugst!$R$5:$W$9,MATCH(ROUNDUP((G$1)/10,0)*10,[1]Hugst!$R$4:$W$4,0))))</f>
        <v>5413.3946371775519</v>
      </c>
      <c r="H190">
        <f ca="1">IF($C190-H$1&lt;År1,0,G189*(1-VLOOKUP($A190,[1]Hugst!$R$5:$W$9,MATCH(ROUNDUP((H$1)/10,0)*10,[1]Hugst!$R$4:$W$4,0))))</f>
        <v>5418.2891130458347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55000000000000004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5403.6789802171825</v>
      </c>
      <c r="G191">
        <f ca="1">IF($C191-G$1&lt;År1,0,F190*(1-VLOOKUP($A191,[1]Hugst!$R$5:$W$9,MATCH(ROUNDUP((G$1)/10,0)*10,[1]Hugst!$R$4:$W$4,0))))</f>
        <v>5408.5246336886621</v>
      </c>
      <c r="H191">
        <f ca="1">IF($C191-H$1&lt;År1,0,G190*(1-VLOOKUP($A191,[1]Hugst!$R$5:$W$9,MATCH(ROUNDUP((H$1)/10,0)*10,[1]Hugst!$R$4:$W$4,0))))</f>
        <v>5413.3946371775519</v>
      </c>
      <c r="I191">
        <f ca="1">IF($C191-I$1&lt;År1,0,H190*(1-VLOOKUP($A191,[1]Hugst!$R$5:$W$9,MATCH(ROUNDUP((I$1)/10,0)*10,[1]Hugst!$R$4:$W$4,0))))</f>
        <v>5418.2891130458347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55000000000000004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5398.8575550130645</v>
      </c>
      <c r="G192">
        <f ca="1">IF($C192-G$1&lt;År1,0,F191*(1-VLOOKUP($A192,[1]Hugst!$R$5:$W$9,MATCH(ROUNDUP((G$1)/10,0)*10,[1]Hugst!$R$4:$W$4,0))))</f>
        <v>5403.6789802171825</v>
      </c>
      <c r="H192">
        <f ca="1">IF($C192-H$1&lt;År1,0,G191*(1-VLOOKUP($A192,[1]Hugst!$R$5:$W$9,MATCH(ROUNDUP((H$1)/10,0)*10,[1]Hugst!$R$4:$W$4,0))))</f>
        <v>5408.5246336886621</v>
      </c>
      <c r="I192">
        <f ca="1">IF($C192-I$1&lt;År1,0,H191*(1-VLOOKUP($A192,[1]Hugst!$R$5:$W$9,MATCH(ROUNDUP((I$1)/10,0)*10,[1]Hugst!$R$4:$W$4,0))))</f>
        <v>5413.3946371775519</v>
      </c>
      <c r="J192">
        <f ca="1">IF($C192-J$1&lt;År1,0,I191*(1-VLOOKUP($A192,[1]Hugst!$R$5:$W$9,MATCH(ROUNDUP((J$1)/10,0)*10,[1]Hugst!$R$4:$W$4,0))))</f>
        <v>5418.2891130458347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55000000000000004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5394.0602369349645</v>
      </c>
      <c r="G193">
        <f ca="1">IF($C193-G$1&lt;År1,0,F192*(1-VLOOKUP($A193,[1]Hugst!$R$5:$W$9,MATCH(ROUNDUP((G$1)/10,0)*10,[1]Hugst!$R$4:$W$4,0))))</f>
        <v>5398.8575550130645</v>
      </c>
      <c r="H193">
        <f ca="1">IF($C193-H$1&lt;År1,0,G192*(1-VLOOKUP($A193,[1]Hugst!$R$5:$W$9,MATCH(ROUNDUP((H$1)/10,0)*10,[1]Hugst!$R$4:$W$4,0))))</f>
        <v>5403.6789802171825</v>
      </c>
      <c r="I193">
        <f ca="1">IF($C193-I$1&lt;År1,0,H192*(1-VLOOKUP($A193,[1]Hugst!$R$5:$W$9,MATCH(ROUNDUP((I$1)/10,0)*10,[1]Hugst!$R$4:$W$4,0))))</f>
        <v>5408.5246336886621</v>
      </c>
      <c r="J193">
        <f ca="1">IF($C193-J$1&lt;År1,0,I192*(1-VLOOKUP($A193,[1]Hugst!$R$5:$W$9,MATCH(ROUNDUP((J$1)/10,0)*10,[1]Hugst!$R$4:$W$4,0))))</f>
        <v>5413.3946371775519</v>
      </c>
      <c r="K193">
        <f ca="1">IF($C193-K$1&lt;År1,0,J192*(1-VLOOKUP($A193,[1]Hugst!$R$5:$W$9,MATCH(ROUNDUP((K$1)/10,0)*10,[1]Hugst!$R$4:$W$4,0))))</f>
        <v>5418.2891130458347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55000000000000004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5389.286905447264</v>
      </c>
      <c r="G194">
        <f ca="1">IF($C194-G$1&lt;År1,0,F193*(1-VLOOKUP($A194,[1]Hugst!$R$5:$W$9,MATCH(ROUNDUP((G$1)/10,0)*10,[1]Hugst!$R$4:$W$4,0))))</f>
        <v>5394.0602369349645</v>
      </c>
      <c r="H194">
        <f ca="1">IF($C194-H$1&lt;År1,0,G193*(1-VLOOKUP($A194,[1]Hugst!$R$5:$W$9,MATCH(ROUNDUP((H$1)/10,0)*10,[1]Hugst!$R$4:$W$4,0))))</f>
        <v>5398.8575550130645</v>
      </c>
      <c r="I194">
        <f ca="1">IF($C194-I$1&lt;År1,0,H193*(1-VLOOKUP($A194,[1]Hugst!$R$5:$W$9,MATCH(ROUNDUP((I$1)/10,0)*10,[1]Hugst!$R$4:$W$4,0))))</f>
        <v>5403.6789802171825</v>
      </c>
      <c r="J194">
        <f ca="1">IF($C194-J$1&lt;År1,0,I193*(1-VLOOKUP($A194,[1]Hugst!$R$5:$W$9,MATCH(ROUNDUP((J$1)/10,0)*10,[1]Hugst!$R$4:$W$4,0))))</f>
        <v>5408.5246336886621</v>
      </c>
      <c r="K194">
        <f ca="1">IF($C194-K$1&lt;År1,0,J193*(1-VLOOKUP($A194,[1]Hugst!$R$5:$W$9,MATCH(ROUNDUP((K$1)/10,0)*10,[1]Hugst!$R$4:$W$4,0))))</f>
        <v>5413.3946371775519</v>
      </c>
      <c r="L194">
        <f ca="1">IF($C194-L$1&lt;År1,0,K193*(1-VLOOKUP($A194,[1]Hugst!$R$5:$W$9,MATCH(ROUNDUP((L$1)/10,0)*10,[1]Hugst!$R$4:$W$4,0))))</f>
        <v>5418.2891130458347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55000000000000004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5384.5374406170058</v>
      </c>
      <c r="G195">
        <f ca="1">IF($C195-G$1&lt;År1,0,F194*(1-VLOOKUP($A195,[1]Hugst!$R$5:$W$9,MATCH(ROUNDUP((G$1)/10,0)*10,[1]Hugst!$R$4:$W$4,0))))</f>
        <v>5389.286905447264</v>
      </c>
      <c r="H195">
        <f ca="1">IF($C195-H$1&lt;År1,0,G194*(1-VLOOKUP($A195,[1]Hugst!$R$5:$W$9,MATCH(ROUNDUP((H$1)/10,0)*10,[1]Hugst!$R$4:$W$4,0))))</f>
        <v>5394.0602369349645</v>
      </c>
      <c r="I195">
        <f ca="1">IF($C195-I$1&lt;År1,0,H194*(1-VLOOKUP($A195,[1]Hugst!$R$5:$W$9,MATCH(ROUNDUP((I$1)/10,0)*10,[1]Hugst!$R$4:$W$4,0))))</f>
        <v>5398.8575550130645</v>
      </c>
      <c r="J195">
        <f ca="1">IF($C195-J$1&lt;År1,0,I194*(1-VLOOKUP($A195,[1]Hugst!$R$5:$W$9,MATCH(ROUNDUP((J$1)/10,0)*10,[1]Hugst!$R$4:$W$4,0))))</f>
        <v>5403.6789802171825</v>
      </c>
      <c r="K195">
        <f ca="1">IF($C195-K$1&lt;År1,0,J194*(1-VLOOKUP($A195,[1]Hugst!$R$5:$W$9,MATCH(ROUNDUP((K$1)/10,0)*10,[1]Hugst!$R$4:$W$4,0))))</f>
        <v>5408.5246336886621</v>
      </c>
      <c r="L195">
        <f ca="1">IF($C195-L$1&lt;År1,0,K194*(1-VLOOKUP($A195,[1]Hugst!$R$5:$W$9,MATCH(ROUNDUP((L$1)/10,0)*10,[1]Hugst!$R$4:$W$4,0))))</f>
        <v>5413.3946371775519</v>
      </c>
      <c r="M195">
        <f ca="1">IF($C195-M$1&lt;År1,0,L194*(1-VLOOKUP($A195,[1]Hugst!$R$5:$W$9,MATCH(ROUNDUP((M$1)/10,0)*10,[1]Hugst!$R$4:$W$4,0))))</f>
        <v>5418.2891130458347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55000000000000004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5379.8117231109036</v>
      </c>
      <c r="G196">
        <f ca="1">IF($C196-G$1&lt;År1,0,F195*(1-VLOOKUP($A196,[1]Hugst!$R$5:$W$9,MATCH(ROUNDUP((G$1)/10,0)*10,[1]Hugst!$R$4:$W$4,0))))</f>
        <v>5384.5374406170058</v>
      </c>
      <c r="H196">
        <f ca="1">IF($C196-H$1&lt;År1,0,G195*(1-VLOOKUP($A196,[1]Hugst!$R$5:$W$9,MATCH(ROUNDUP((H$1)/10,0)*10,[1]Hugst!$R$4:$W$4,0))))</f>
        <v>5389.286905447264</v>
      </c>
      <c r="I196">
        <f ca="1">IF($C196-I$1&lt;År1,0,H195*(1-VLOOKUP($A196,[1]Hugst!$R$5:$W$9,MATCH(ROUNDUP((I$1)/10,0)*10,[1]Hugst!$R$4:$W$4,0))))</f>
        <v>5394.0602369349645</v>
      </c>
      <c r="J196">
        <f ca="1">IF($C196-J$1&lt;År1,0,I195*(1-VLOOKUP($A196,[1]Hugst!$R$5:$W$9,MATCH(ROUNDUP((J$1)/10,0)*10,[1]Hugst!$R$4:$W$4,0))))</f>
        <v>5398.8575550130645</v>
      </c>
      <c r="K196">
        <f ca="1">IF($C196-K$1&lt;År1,0,J195*(1-VLOOKUP($A196,[1]Hugst!$R$5:$W$9,MATCH(ROUNDUP((K$1)/10,0)*10,[1]Hugst!$R$4:$W$4,0))))</f>
        <v>5403.6789802171825</v>
      </c>
      <c r="L196">
        <f ca="1">IF($C196-L$1&lt;År1,0,K195*(1-VLOOKUP($A196,[1]Hugst!$R$5:$W$9,MATCH(ROUNDUP((L$1)/10,0)*10,[1]Hugst!$R$4:$W$4,0))))</f>
        <v>5408.5246336886621</v>
      </c>
      <c r="M196">
        <f ca="1">IF($C196-M$1&lt;År1,0,L195*(1-VLOOKUP($A196,[1]Hugst!$R$5:$W$9,MATCH(ROUNDUP((M$1)/10,0)*10,[1]Hugst!$R$4:$W$4,0))))</f>
        <v>5413.3946371775519</v>
      </c>
      <c r="N196">
        <f ca="1">IF($C196-N$1&lt;År1,0,M195*(1-VLOOKUP($A196,[1]Hugst!$R$5:$W$9,MATCH(ROUNDUP((N$1)/10,0)*10,[1]Hugst!$R$4:$W$4,0))))</f>
        <v>5418.2891130458347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55000000000000004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5375.1096341922748</v>
      </c>
      <c r="G197">
        <f ca="1">IF($C197-G$1&lt;År1,0,F196*(1-VLOOKUP($A197,[1]Hugst!$R$5:$W$9,MATCH(ROUNDUP((G$1)/10,0)*10,[1]Hugst!$R$4:$W$4,0))))</f>
        <v>5379.8117231109036</v>
      </c>
      <c r="H197">
        <f ca="1">IF($C197-H$1&lt;År1,0,G196*(1-VLOOKUP($A197,[1]Hugst!$R$5:$W$9,MATCH(ROUNDUP((H$1)/10,0)*10,[1]Hugst!$R$4:$W$4,0))))</f>
        <v>5384.5374406170058</v>
      </c>
      <c r="I197">
        <f ca="1">IF($C197-I$1&lt;År1,0,H196*(1-VLOOKUP($A197,[1]Hugst!$R$5:$W$9,MATCH(ROUNDUP((I$1)/10,0)*10,[1]Hugst!$R$4:$W$4,0))))</f>
        <v>5389.286905447264</v>
      </c>
      <c r="J197">
        <f ca="1">IF($C197-J$1&lt;År1,0,I196*(1-VLOOKUP($A197,[1]Hugst!$R$5:$W$9,MATCH(ROUNDUP((J$1)/10,0)*10,[1]Hugst!$R$4:$W$4,0))))</f>
        <v>5394.0602369349645</v>
      </c>
      <c r="K197">
        <f ca="1">IF($C197-K$1&lt;År1,0,J196*(1-VLOOKUP($A197,[1]Hugst!$R$5:$W$9,MATCH(ROUNDUP((K$1)/10,0)*10,[1]Hugst!$R$4:$W$4,0))))</f>
        <v>5398.8575550130645</v>
      </c>
      <c r="L197">
        <f ca="1">IF($C197-L$1&lt;År1,0,K196*(1-VLOOKUP($A197,[1]Hugst!$R$5:$W$9,MATCH(ROUNDUP((L$1)/10,0)*10,[1]Hugst!$R$4:$W$4,0))))</f>
        <v>5403.6789802171825</v>
      </c>
      <c r="M197">
        <f ca="1">IF($C197-M$1&lt;År1,0,L196*(1-VLOOKUP($A197,[1]Hugst!$R$5:$W$9,MATCH(ROUNDUP((M$1)/10,0)*10,[1]Hugst!$R$4:$W$4,0))))</f>
        <v>5408.5246336886621</v>
      </c>
      <c r="N197">
        <f ca="1">IF($C197-N$1&lt;År1,0,M196*(1-VLOOKUP($A197,[1]Hugst!$R$5:$W$9,MATCH(ROUNDUP((N$1)/10,0)*10,[1]Hugst!$R$4:$W$4,0))))</f>
        <v>5413.3946371775519</v>
      </c>
      <c r="O197">
        <f ca="1">IF($C197-O$1&lt;År1,0,N196*(1-VLOOKUP($A197,[1]Hugst!$R$5:$W$9,MATCH(ROUNDUP((O$1)/10,0)*10,[1]Hugst!$R$4:$W$4,0))))</f>
        <v>5418.2891130458347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55000000000000004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11.893805370105838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5382.3248610884366</v>
      </c>
      <c r="G198">
        <f ca="1">IF($C198-G$1&lt;År1,0,F197*(1-VLOOKUP($A198,[1]Hugst!$R$5:$W$9,MATCH(ROUNDUP((G$1)/10,0)*10,[1]Hugst!$R$4:$W$4,0))))</f>
        <v>5375.1096341922748</v>
      </c>
      <c r="H198">
        <f ca="1">IF($C198-H$1&lt;År1,0,G197*(1-VLOOKUP($A198,[1]Hugst!$R$5:$W$9,MATCH(ROUNDUP((H$1)/10,0)*10,[1]Hugst!$R$4:$W$4,0))))</f>
        <v>5379.8117231109036</v>
      </c>
      <c r="I198">
        <f ca="1">IF($C198-I$1&lt;År1,0,H197*(1-VLOOKUP($A198,[1]Hugst!$R$5:$W$9,MATCH(ROUNDUP((I$1)/10,0)*10,[1]Hugst!$R$4:$W$4,0))))</f>
        <v>5384.5374406170058</v>
      </c>
      <c r="J198">
        <f ca="1">IF($C198-J$1&lt;År1,0,I197*(1-VLOOKUP($A198,[1]Hugst!$R$5:$W$9,MATCH(ROUNDUP((J$1)/10,0)*10,[1]Hugst!$R$4:$W$4,0))))</f>
        <v>5389.286905447264</v>
      </c>
      <c r="K198">
        <f ca="1">IF($C198-K$1&lt;År1,0,J197*(1-VLOOKUP($A198,[1]Hugst!$R$5:$W$9,MATCH(ROUNDUP((K$1)/10,0)*10,[1]Hugst!$R$4:$W$4,0))))</f>
        <v>5394.0602369349645</v>
      </c>
      <c r="L198">
        <f ca="1">IF($C198-L$1&lt;År1,0,K197*(1-VLOOKUP($A198,[1]Hugst!$R$5:$W$9,MATCH(ROUNDUP((L$1)/10,0)*10,[1]Hugst!$R$4:$W$4,0))))</f>
        <v>5398.8575550130645</v>
      </c>
      <c r="M198">
        <f ca="1">IF($C198-M$1&lt;År1,0,L197*(1-VLOOKUP($A198,[1]Hugst!$R$5:$W$9,MATCH(ROUNDUP((M$1)/10,0)*10,[1]Hugst!$R$4:$W$4,0))))</f>
        <v>5403.6789802171825</v>
      </c>
      <c r="N198">
        <f ca="1">IF($C198-N$1&lt;År1,0,M197*(1-VLOOKUP($A198,[1]Hugst!$R$5:$W$9,MATCH(ROUNDUP((N$1)/10,0)*10,[1]Hugst!$R$4:$W$4,0))))</f>
        <v>5408.5246336886621</v>
      </c>
      <c r="O198">
        <f ca="1">IF($C198-O$1&lt;År1,0,N197*(1-VLOOKUP($A198,[1]Hugst!$R$5:$W$9,MATCH(ROUNDUP((O$1)/10,0)*10,[1]Hugst!$R$4:$W$4,0))))</f>
        <v>5413.3946371775519</v>
      </c>
      <c r="P198">
        <f ca="1">IF($C198-P$1&lt;År1,0,O197*(1-VLOOKUP($A198,[1]Hugst!$R$5:$W$9,MATCH(ROUNDUP((P$1)/10,0)*10,[1]Hugst!$R$4:$W$4,0))))</f>
        <v>5406.3953076757343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55000000000000004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23.750758415531891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3391.7993558249086</v>
      </c>
      <c r="G199">
        <f ca="1">IF($C199-G$1&lt;År1,0,F198*(1-VLOOKUP($A199,[1]Hugst!$R$5:$W$9,MATCH(ROUNDUP((G$1)/10,0)*10,[1]Hugst!$R$4:$W$4,0))))</f>
        <v>5382.3248610884366</v>
      </c>
      <c r="H199">
        <f ca="1">IF($C199-H$1&lt;År1,0,G198*(1-VLOOKUP($A199,[1]Hugst!$R$5:$W$9,MATCH(ROUNDUP((H$1)/10,0)*10,[1]Hugst!$R$4:$W$4,0))))</f>
        <v>5375.1096341922748</v>
      </c>
      <c r="I199">
        <f ca="1">IF($C199-I$1&lt;År1,0,H198*(1-VLOOKUP($A199,[1]Hugst!$R$5:$W$9,MATCH(ROUNDUP((I$1)/10,0)*10,[1]Hugst!$R$4:$W$4,0))))</f>
        <v>5379.8117231109036</v>
      </c>
      <c r="J199">
        <f ca="1">IF($C199-J$1&lt;År1,0,I198*(1-VLOOKUP($A199,[1]Hugst!$R$5:$W$9,MATCH(ROUNDUP((J$1)/10,0)*10,[1]Hugst!$R$4:$W$4,0))))</f>
        <v>5384.5374406170058</v>
      </c>
      <c r="K199">
        <f ca="1">IF($C199-K$1&lt;År1,0,J198*(1-VLOOKUP($A199,[1]Hugst!$R$5:$W$9,MATCH(ROUNDUP((K$1)/10,0)*10,[1]Hugst!$R$4:$W$4,0))))</f>
        <v>5389.286905447264</v>
      </c>
      <c r="L199">
        <f ca="1">IF($C199-L$1&lt;År1,0,K198*(1-VLOOKUP($A199,[1]Hugst!$R$5:$W$9,MATCH(ROUNDUP((L$1)/10,0)*10,[1]Hugst!$R$4:$W$4,0))))</f>
        <v>5394.0602369349645</v>
      </c>
      <c r="M199">
        <f ca="1">IF($C199-M$1&lt;År1,0,L198*(1-VLOOKUP($A199,[1]Hugst!$R$5:$W$9,MATCH(ROUNDUP((M$1)/10,0)*10,[1]Hugst!$R$4:$W$4,0))))</f>
        <v>5398.8575550130645</v>
      </c>
      <c r="N199">
        <f ca="1">IF($C199-N$1&lt;År1,0,M198*(1-VLOOKUP($A199,[1]Hugst!$R$5:$W$9,MATCH(ROUNDUP((N$1)/10,0)*10,[1]Hugst!$R$4:$W$4,0))))</f>
        <v>5403.6789802171825</v>
      </c>
      <c r="O199">
        <f ca="1">IF($C199-O$1&lt;År1,0,N198*(1-VLOOKUP($A199,[1]Hugst!$R$5:$W$9,MATCH(ROUNDUP((O$1)/10,0)*10,[1]Hugst!$R$4:$W$4,0))))</f>
        <v>5408.5246336886621</v>
      </c>
      <c r="P199">
        <f ca="1">IF($C199-P$1&lt;År1,0,O198*(1-VLOOKUP($A199,[1]Hugst!$R$5:$W$9,MATCH(ROUNDUP((P$1)/10,0)*10,[1]Hugst!$R$4:$W$4,0))))</f>
        <v>5401.5115757788699</v>
      </c>
      <c r="Q199">
        <f ca="1">IF($C199-Q$1&lt;År1,0,P198*(1-VLOOKUP($A199,[1]Hugst!$R$5:$W$9,MATCH(ROUNDUP((Q$1)/10,0)*10,[1]Hugst!$R$4:$W$4,0))))</f>
        <v>5394.5276106588854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55000000000000004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35.570993751498463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3398.9876815072089</v>
      </c>
      <c r="G200">
        <f ca="1">IF($C200-G$1&lt;År1,0,F199*(1-VLOOKUP($A200,[1]Hugst!$R$5:$W$9,MATCH(ROUNDUP((G$1)/10,0)*10,[1]Hugst!$R$4:$W$4,0))))</f>
        <v>3391.7993558249086</v>
      </c>
      <c r="H200">
        <f ca="1">IF($C200-H$1&lt;År1,0,G199*(1-VLOOKUP($A200,[1]Hugst!$R$5:$W$9,MATCH(ROUNDUP((H$1)/10,0)*10,[1]Hugst!$R$4:$W$4,0))))</f>
        <v>5382.3248610884366</v>
      </c>
      <c r="I200">
        <f ca="1">IF($C200-I$1&lt;År1,0,H199*(1-VLOOKUP($A200,[1]Hugst!$R$5:$W$9,MATCH(ROUNDUP((I$1)/10,0)*10,[1]Hugst!$R$4:$W$4,0))))</f>
        <v>5375.1096341922748</v>
      </c>
      <c r="J200">
        <f ca="1">IF($C200-J$1&lt;År1,0,I199*(1-VLOOKUP($A200,[1]Hugst!$R$5:$W$9,MATCH(ROUNDUP((J$1)/10,0)*10,[1]Hugst!$R$4:$W$4,0))))</f>
        <v>5379.8117231109036</v>
      </c>
      <c r="K200">
        <f ca="1">IF($C200-K$1&lt;År1,0,J199*(1-VLOOKUP($A200,[1]Hugst!$R$5:$W$9,MATCH(ROUNDUP((K$1)/10,0)*10,[1]Hugst!$R$4:$W$4,0))))</f>
        <v>5384.5374406170058</v>
      </c>
      <c r="L200">
        <f ca="1">IF($C200-L$1&lt;År1,0,K199*(1-VLOOKUP($A200,[1]Hugst!$R$5:$W$9,MATCH(ROUNDUP((L$1)/10,0)*10,[1]Hugst!$R$4:$W$4,0))))</f>
        <v>5389.286905447264</v>
      </c>
      <c r="M200">
        <f ca="1">IF($C200-M$1&lt;År1,0,L199*(1-VLOOKUP($A200,[1]Hugst!$R$5:$W$9,MATCH(ROUNDUP((M$1)/10,0)*10,[1]Hugst!$R$4:$W$4,0))))</f>
        <v>5394.0602369349645</v>
      </c>
      <c r="N200">
        <f ca="1">IF($C200-N$1&lt;År1,0,M199*(1-VLOOKUP($A200,[1]Hugst!$R$5:$W$9,MATCH(ROUNDUP((N$1)/10,0)*10,[1]Hugst!$R$4:$W$4,0))))</f>
        <v>5398.8575550130645</v>
      </c>
      <c r="O200">
        <f ca="1">IF($C200-O$1&lt;År1,0,N199*(1-VLOOKUP($A200,[1]Hugst!$R$5:$W$9,MATCH(ROUNDUP((O$1)/10,0)*10,[1]Hugst!$R$4:$W$4,0))))</f>
        <v>5403.6789802171825</v>
      </c>
      <c r="P200">
        <f ca="1">IF($C200-P$1&lt;År1,0,O199*(1-VLOOKUP($A200,[1]Hugst!$R$5:$W$9,MATCH(ROUNDUP((P$1)/10,0)*10,[1]Hugst!$R$4:$W$4,0))))</f>
        <v>5396.6522625415409</v>
      </c>
      <c r="Q200">
        <f ca="1">IF($C200-Q$1&lt;År1,0,P199*(1-VLOOKUP($A200,[1]Hugst!$R$5:$W$9,MATCH(ROUNDUP((Q$1)/10,0)*10,[1]Hugst!$R$4:$W$4,0))))</f>
        <v>5389.6545991491112</v>
      </c>
      <c r="R200">
        <f ca="1">IF($C200-R$1&lt;År1,0,Q199*(1-VLOOKUP($A200,[1]Hugst!$R$5:$W$9,MATCH(ROUNDUP((R$1)/10,0)*10,[1]Hugst!$R$4:$W$4,0))))</f>
        <v>5382.6859646842686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55000000000000004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47.354645429106313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3406.1625830793469</v>
      </c>
      <c r="G201">
        <f ca="1">IF($C201-G$1&lt;År1,0,F200*(1-VLOOKUP($A201,[1]Hugst!$R$5:$W$9,MATCH(ROUNDUP((G$1)/10,0)*10,[1]Hugst!$R$4:$W$4,0))))</f>
        <v>3398.9876815072089</v>
      </c>
      <c r="H201">
        <f ca="1">IF($C201-H$1&lt;År1,0,G200*(1-VLOOKUP($A201,[1]Hugst!$R$5:$W$9,MATCH(ROUNDUP((H$1)/10,0)*10,[1]Hugst!$R$4:$W$4,0))))</f>
        <v>3391.7993558249086</v>
      </c>
      <c r="I201">
        <f ca="1">IF($C201-I$1&lt;År1,0,H200*(1-VLOOKUP($A201,[1]Hugst!$R$5:$W$9,MATCH(ROUNDUP((I$1)/10,0)*10,[1]Hugst!$R$4:$W$4,0))))</f>
        <v>5382.3248610884366</v>
      </c>
      <c r="J201">
        <f ca="1">IF($C201-J$1&lt;År1,0,I200*(1-VLOOKUP($A201,[1]Hugst!$R$5:$W$9,MATCH(ROUNDUP((J$1)/10,0)*10,[1]Hugst!$R$4:$W$4,0))))</f>
        <v>5375.1096341922748</v>
      </c>
      <c r="K201">
        <f ca="1">IF($C201-K$1&lt;År1,0,J200*(1-VLOOKUP($A201,[1]Hugst!$R$5:$W$9,MATCH(ROUNDUP((K$1)/10,0)*10,[1]Hugst!$R$4:$W$4,0))))</f>
        <v>5379.8117231109036</v>
      </c>
      <c r="L201">
        <f ca="1">IF($C201-L$1&lt;År1,0,K200*(1-VLOOKUP($A201,[1]Hugst!$R$5:$W$9,MATCH(ROUNDUP((L$1)/10,0)*10,[1]Hugst!$R$4:$W$4,0))))</f>
        <v>5384.5374406170058</v>
      </c>
      <c r="M201">
        <f ca="1">IF($C201-M$1&lt;År1,0,L200*(1-VLOOKUP($A201,[1]Hugst!$R$5:$W$9,MATCH(ROUNDUP((M$1)/10,0)*10,[1]Hugst!$R$4:$W$4,0))))</f>
        <v>5389.286905447264</v>
      </c>
      <c r="N201">
        <f ca="1">IF($C201-N$1&lt;År1,0,M200*(1-VLOOKUP($A201,[1]Hugst!$R$5:$W$9,MATCH(ROUNDUP((N$1)/10,0)*10,[1]Hugst!$R$4:$W$4,0))))</f>
        <v>5394.0602369349645</v>
      </c>
      <c r="O201">
        <f ca="1">IF($C201-O$1&lt;År1,0,N200*(1-VLOOKUP($A201,[1]Hugst!$R$5:$W$9,MATCH(ROUNDUP((O$1)/10,0)*10,[1]Hugst!$R$4:$W$4,0))))</f>
        <v>5398.8575550130645</v>
      </c>
      <c r="P201">
        <f ca="1">IF($C201-P$1&lt;År1,0,O200*(1-VLOOKUP($A201,[1]Hugst!$R$5:$W$9,MATCH(ROUNDUP((P$1)/10,0)*10,[1]Hugst!$R$4:$W$4,0))))</f>
        <v>5391.8172458703639</v>
      </c>
      <c r="Q201">
        <f ca="1">IF($C201-Q$1&lt;År1,0,P200*(1-VLOOKUP($A201,[1]Hugst!$R$5:$W$9,MATCH(ROUNDUP((Q$1)/10,0)*10,[1]Hugst!$R$4:$W$4,0))))</f>
        <v>5384.8059526969373</v>
      </c>
      <c r="R201">
        <f ca="1">IF($C201-R$1&lt;År1,0,Q200*(1-VLOOKUP($A201,[1]Hugst!$R$5:$W$9,MATCH(ROUNDUP((R$1)/10,0)*10,[1]Hugst!$R$4:$W$4,0))))</f>
        <v>5377.8236500290277</v>
      </c>
      <c r="S201">
        <f ca="1">IF($C201-S$1&lt;År1,0,R200*(1-VLOOKUP($A201,[1]Hugst!$R$5:$W$9,MATCH(ROUNDUP((S$1)/10,0)*10,[1]Hugst!$R$4:$W$4,0))))</f>
        <v>5370.8703125666689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55000000000000004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59.101846937948721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3413.3240782332773</v>
      </c>
      <c r="G202">
        <f ca="1">IF($C202-G$1&lt;År1,0,F201*(1-VLOOKUP($A202,[1]Hugst!$R$5:$W$9,MATCH(ROUNDUP((G$1)/10,0)*10,[1]Hugst!$R$4:$W$4,0))))</f>
        <v>3406.1625830793469</v>
      </c>
      <c r="H202">
        <f ca="1">IF($C202-H$1&lt;År1,0,G201*(1-VLOOKUP($A202,[1]Hugst!$R$5:$W$9,MATCH(ROUNDUP((H$1)/10,0)*10,[1]Hugst!$R$4:$W$4,0))))</f>
        <v>3398.9876815072089</v>
      </c>
      <c r="I202">
        <f ca="1">IF($C202-I$1&lt;År1,0,H201*(1-VLOOKUP($A202,[1]Hugst!$R$5:$W$9,MATCH(ROUNDUP((I$1)/10,0)*10,[1]Hugst!$R$4:$W$4,0))))</f>
        <v>3391.7993558249086</v>
      </c>
      <c r="J202">
        <f ca="1">IF($C202-J$1&lt;År1,0,I201*(1-VLOOKUP($A202,[1]Hugst!$R$5:$W$9,MATCH(ROUNDUP((J$1)/10,0)*10,[1]Hugst!$R$4:$W$4,0))))</f>
        <v>5382.3248610884366</v>
      </c>
      <c r="K202">
        <f ca="1">IF($C202-K$1&lt;År1,0,J201*(1-VLOOKUP($A202,[1]Hugst!$R$5:$W$9,MATCH(ROUNDUP((K$1)/10,0)*10,[1]Hugst!$R$4:$W$4,0))))</f>
        <v>5375.1096341922748</v>
      </c>
      <c r="L202">
        <f ca="1">IF($C202-L$1&lt;År1,0,K201*(1-VLOOKUP($A202,[1]Hugst!$R$5:$W$9,MATCH(ROUNDUP((L$1)/10,0)*10,[1]Hugst!$R$4:$W$4,0))))</f>
        <v>5379.8117231109036</v>
      </c>
      <c r="M202">
        <f ca="1">IF($C202-M$1&lt;År1,0,L201*(1-VLOOKUP($A202,[1]Hugst!$R$5:$W$9,MATCH(ROUNDUP((M$1)/10,0)*10,[1]Hugst!$R$4:$W$4,0))))</f>
        <v>5384.5374406170058</v>
      </c>
      <c r="N202">
        <f ca="1">IF($C202-N$1&lt;År1,0,M201*(1-VLOOKUP($A202,[1]Hugst!$R$5:$W$9,MATCH(ROUNDUP((N$1)/10,0)*10,[1]Hugst!$R$4:$W$4,0))))</f>
        <v>5389.286905447264</v>
      </c>
      <c r="O202">
        <f ca="1">IF($C202-O$1&lt;År1,0,N201*(1-VLOOKUP($A202,[1]Hugst!$R$5:$W$9,MATCH(ROUNDUP((O$1)/10,0)*10,[1]Hugst!$R$4:$W$4,0))))</f>
        <v>5394.0602369349645</v>
      </c>
      <c r="P202">
        <f ca="1">IF($C202-P$1&lt;År1,0,O201*(1-VLOOKUP($A202,[1]Hugst!$R$5:$W$9,MATCH(ROUNDUP((P$1)/10,0)*10,[1]Hugst!$R$4:$W$4,0))))</f>
        <v>5387.0064042825479</v>
      </c>
      <c r="Q202">
        <f ca="1">IF($C202-Q$1&lt;År1,0,P201*(1-VLOOKUP($A202,[1]Hugst!$R$5:$W$9,MATCH(ROUNDUP((Q$1)/10,0)*10,[1]Hugst!$R$4:$W$4,0))))</f>
        <v>5379.98154947699</v>
      </c>
      <c r="R202">
        <f ca="1">IF($C202-R$1&lt;År1,0,Q201*(1-VLOOKUP($A202,[1]Hugst!$R$5:$W$9,MATCH(ROUNDUP((R$1)/10,0)*10,[1]Hugst!$R$4:$W$4,0))))</f>
        <v>5372.9856469471151</v>
      </c>
      <c r="S202">
        <f ca="1">IF($C202-S$1&lt;År1,0,R201*(1-VLOOKUP($A202,[1]Hugst!$R$5:$W$9,MATCH(ROUNDUP((S$1)/10,0)*10,[1]Hugst!$R$4:$W$4,0))))</f>
        <v>5366.0186712850618</v>
      </c>
      <c r="T202">
        <f ca="1">IF($C202-T$1&lt;År1,0,S201*(1-VLOOKUP($A202,[1]Hugst!$R$5:$W$9,MATCH(ROUNDUP((T$1)/10,0)*10,[1]Hugst!$R$4:$W$4,0))))</f>
        <v>5359.0805972464004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55000000000000004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70.812731208672631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3420.4721846808766</v>
      </c>
      <c r="G203">
        <f ca="1">IF($C203-G$1&lt;År1,0,F202*(1-VLOOKUP($A203,[1]Hugst!$R$5:$W$9,MATCH(ROUNDUP((G$1)/10,0)*10,[1]Hugst!$R$4:$W$4,0))))</f>
        <v>3413.3240782332773</v>
      </c>
      <c r="H203">
        <f ca="1">IF($C203-H$1&lt;År1,0,G202*(1-VLOOKUP($A203,[1]Hugst!$R$5:$W$9,MATCH(ROUNDUP((H$1)/10,0)*10,[1]Hugst!$R$4:$W$4,0))))</f>
        <v>3406.1625830793469</v>
      </c>
      <c r="I203">
        <f ca="1">IF($C203-I$1&lt;År1,0,H202*(1-VLOOKUP($A203,[1]Hugst!$R$5:$W$9,MATCH(ROUNDUP((I$1)/10,0)*10,[1]Hugst!$R$4:$W$4,0))))</f>
        <v>3398.9876815072089</v>
      </c>
      <c r="J203">
        <f ca="1">IF($C203-J$1&lt;År1,0,I202*(1-VLOOKUP($A203,[1]Hugst!$R$5:$W$9,MATCH(ROUNDUP((J$1)/10,0)*10,[1]Hugst!$R$4:$W$4,0))))</f>
        <v>3391.7993558249086</v>
      </c>
      <c r="K203">
        <f ca="1">IF($C203-K$1&lt;År1,0,J202*(1-VLOOKUP($A203,[1]Hugst!$R$5:$W$9,MATCH(ROUNDUP((K$1)/10,0)*10,[1]Hugst!$R$4:$W$4,0))))</f>
        <v>5382.3248610884366</v>
      </c>
      <c r="L203">
        <f ca="1">IF($C203-L$1&lt;År1,0,K202*(1-VLOOKUP($A203,[1]Hugst!$R$5:$W$9,MATCH(ROUNDUP((L$1)/10,0)*10,[1]Hugst!$R$4:$W$4,0))))</f>
        <v>5375.1096341922748</v>
      </c>
      <c r="M203">
        <f ca="1">IF($C203-M$1&lt;År1,0,L202*(1-VLOOKUP($A203,[1]Hugst!$R$5:$W$9,MATCH(ROUNDUP((M$1)/10,0)*10,[1]Hugst!$R$4:$W$4,0))))</f>
        <v>5379.8117231109036</v>
      </c>
      <c r="N203">
        <f ca="1">IF($C203-N$1&lt;År1,0,M202*(1-VLOOKUP($A203,[1]Hugst!$R$5:$W$9,MATCH(ROUNDUP((N$1)/10,0)*10,[1]Hugst!$R$4:$W$4,0))))</f>
        <v>5384.5374406170058</v>
      </c>
      <c r="O203">
        <f ca="1">IF($C203-O$1&lt;År1,0,N202*(1-VLOOKUP($A203,[1]Hugst!$R$5:$W$9,MATCH(ROUNDUP((O$1)/10,0)*10,[1]Hugst!$R$4:$W$4,0))))</f>
        <v>5389.286905447264</v>
      </c>
      <c r="P203">
        <f ca="1">IF($C203-P$1&lt;År1,0,O202*(1-VLOOKUP($A203,[1]Hugst!$R$5:$W$9,MATCH(ROUNDUP((P$1)/10,0)*10,[1]Hugst!$R$4:$W$4,0))))</f>
        <v>5382.2196169026683</v>
      </c>
      <c r="Q203">
        <f ca="1">IF($C203-Q$1&lt;År1,0,P202*(1-VLOOKUP($A203,[1]Hugst!$R$5:$W$9,MATCH(ROUNDUP((Q$1)/10,0)*10,[1]Hugst!$R$4:$W$4,0))))</f>
        <v>5375.181268273147</v>
      </c>
      <c r="R203">
        <f ca="1">IF($C203-R$1&lt;År1,0,Q202*(1-VLOOKUP($A203,[1]Hugst!$R$5:$W$9,MATCH(ROUNDUP((R$1)/10,0)*10,[1]Hugst!$R$4:$W$4,0))))</f>
        <v>5368.1718338805767</v>
      </c>
      <c r="S203">
        <f ca="1">IF($C203-S$1&lt;År1,0,R202*(1-VLOOKUP($A203,[1]Hugst!$R$5:$W$9,MATCH(ROUNDUP((S$1)/10,0)*10,[1]Hugst!$R$4:$W$4,0))))</f>
        <v>5361.1912882099141</v>
      </c>
      <c r="T203">
        <f ca="1">IF($C203-T$1&lt;År1,0,S202*(1-VLOOKUP($A203,[1]Hugst!$R$5:$W$9,MATCH(ROUNDUP((T$1)/10,0)*10,[1]Hugst!$R$4:$W$4,0))))</f>
        <v>5354.2396059090706</v>
      </c>
      <c r="U203">
        <f ca="1">IF($C203-U$1&lt;År1,0,T202*(1-VLOOKUP($A203,[1]Hugst!$R$5:$W$9,MATCH(ROUNDUP((U$1)/10,0)*10,[1]Hugst!$R$4:$W$4,0))))</f>
        <v>5347.3167617890304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55000000000000004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82.487430615525227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3427.6069201536952</v>
      </c>
      <c r="G204">
        <f ca="1">IF($C204-G$1&lt;År1,0,F203*(1-VLOOKUP($A204,[1]Hugst!$R$5:$W$9,MATCH(ROUNDUP((G$1)/10,0)*10,[1]Hugst!$R$4:$W$4,0))))</f>
        <v>3420.4721846808766</v>
      </c>
      <c r="H204">
        <f ca="1">IF($C204-H$1&lt;År1,0,G203*(1-VLOOKUP($A204,[1]Hugst!$R$5:$W$9,MATCH(ROUNDUP((H$1)/10,0)*10,[1]Hugst!$R$4:$W$4,0))))</f>
        <v>3413.3240782332773</v>
      </c>
      <c r="I204">
        <f ca="1">IF($C204-I$1&lt;År1,0,H203*(1-VLOOKUP($A204,[1]Hugst!$R$5:$W$9,MATCH(ROUNDUP((I$1)/10,0)*10,[1]Hugst!$R$4:$W$4,0))))</f>
        <v>3406.1625830793469</v>
      </c>
      <c r="J204">
        <f ca="1">IF($C204-J$1&lt;År1,0,I203*(1-VLOOKUP($A204,[1]Hugst!$R$5:$W$9,MATCH(ROUNDUP((J$1)/10,0)*10,[1]Hugst!$R$4:$W$4,0))))</f>
        <v>3398.9876815072089</v>
      </c>
      <c r="K204">
        <f ca="1">IF($C204-K$1&lt;År1,0,J203*(1-VLOOKUP($A204,[1]Hugst!$R$5:$W$9,MATCH(ROUNDUP((K$1)/10,0)*10,[1]Hugst!$R$4:$W$4,0))))</f>
        <v>3391.7993558249086</v>
      </c>
      <c r="L204">
        <f ca="1">IF($C204-L$1&lt;År1,0,K203*(1-VLOOKUP($A204,[1]Hugst!$R$5:$W$9,MATCH(ROUNDUP((L$1)/10,0)*10,[1]Hugst!$R$4:$W$4,0))))</f>
        <v>5382.3248610884366</v>
      </c>
      <c r="M204">
        <f ca="1">IF($C204-M$1&lt;År1,0,L203*(1-VLOOKUP($A204,[1]Hugst!$R$5:$W$9,MATCH(ROUNDUP((M$1)/10,0)*10,[1]Hugst!$R$4:$W$4,0))))</f>
        <v>5375.1096341922748</v>
      </c>
      <c r="N204">
        <f ca="1">IF($C204-N$1&lt;År1,0,M203*(1-VLOOKUP($A204,[1]Hugst!$R$5:$W$9,MATCH(ROUNDUP((N$1)/10,0)*10,[1]Hugst!$R$4:$W$4,0))))</f>
        <v>5379.8117231109036</v>
      </c>
      <c r="O204">
        <f ca="1">IF($C204-O$1&lt;År1,0,N203*(1-VLOOKUP($A204,[1]Hugst!$R$5:$W$9,MATCH(ROUNDUP((O$1)/10,0)*10,[1]Hugst!$R$4:$W$4,0))))</f>
        <v>5384.5374406170058</v>
      </c>
      <c r="P204">
        <f ca="1">IF($C204-P$1&lt;År1,0,O203*(1-VLOOKUP($A204,[1]Hugst!$R$5:$W$9,MATCH(ROUNDUP((P$1)/10,0)*10,[1]Hugst!$R$4:$W$4,0))))</f>
        <v>5377.456763459697</v>
      </c>
      <c r="Q204">
        <f ca="1">IF($C204-Q$1&lt;År1,0,P203*(1-VLOOKUP($A204,[1]Hugst!$R$5:$W$9,MATCH(ROUNDUP((Q$1)/10,0)*10,[1]Hugst!$R$4:$W$4,0))))</f>
        <v>5370.4049884753213</v>
      </c>
      <c r="R204">
        <f ca="1">IF($C204-R$1&lt;År1,0,Q203*(1-VLOOKUP($A204,[1]Hugst!$R$5:$W$9,MATCH(ROUNDUP((R$1)/10,0)*10,[1]Hugst!$R$4:$W$4,0))))</f>
        <v>5363.3820898793765</v>
      </c>
      <c r="S204">
        <f ca="1">IF($C204-S$1&lt;År1,0,R203*(1-VLOOKUP($A204,[1]Hugst!$R$5:$W$9,MATCH(ROUNDUP((S$1)/10,0)*10,[1]Hugst!$R$4:$W$4,0))))</f>
        <v>5356.3880420501073</v>
      </c>
      <c r="T204">
        <f ca="1">IF($C204-T$1&lt;År1,0,S203*(1-VLOOKUP($A204,[1]Hugst!$R$5:$W$9,MATCH(ROUNDUP((T$1)/10,0)*10,[1]Hugst!$R$4:$W$4,0))))</f>
        <v>5349.4228195284777</v>
      </c>
      <c r="U204">
        <f ca="1">IF($C204-U$1&lt;År1,0,T203*(1-VLOOKUP($A204,[1]Hugst!$R$5:$W$9,MATCH(ROUNDUP((U$1)/10,0)*10,[1]Hugst!$R$4:$W$4,0))))</f>
        <v>5342.4863970180504</v>
      </c>
      <c r="V204">
        <f ca="1">IF($C204-V$1&lt;År1,0,U203*(1-VLOOKUP($A204,[1]Hugst!$R$5:$W$9,MATCH(ROUNDUP((V$1)/10,0)*10,[1]Hugst!$R$4:$W$4,0))))</f>
        <v>5335.578749385103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55000000000000004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94.12607697895146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3434.7283024027579</v>
      </c>
      <c r="G205">
        <f ca="1">IF($C205-G$1&lt;År1,0,F204*(1-VLOOKUP($A205,[1]Hugst!$R$5:$W$9,MATCH(ROUNDUP((G$1)/10,0)*10,[1]Hugst!$R$4:$W$4,0))))</f>
        <v>3427.6069201536952</v>
      </c>
      <c r="H205">
        <f ca="1">IF($C205-H$1&lt;År1,0,G204*(1-VLOOKUP($A205,[1]Hugst!$R$5:$W$9,MATCH(ROUNDUP((H$1)/10,0)*10,[1]Hugst!$R$4:$W$4,0))))</f>
        <v>3420.4721846808766</v>
      </c>
      <c r="I205">
        <f ca="1">IF($C205-I$1&lt;År1,0,H204*(1-VLOOKUP($A205,[1]Hugst!$R$5:$W$9,MATCH(ROUNDUP((I$1)/10,0)*10,[1]Hugst!$R$4:$W$4,0))))</f>
        <v>3413.3240782332773</v>
      </c>
      <c r="J205">
        <f ca="1">IF($C205-J$1&lt;År1,0,I204*(1-VLOOKUP($A205,[1]Hugst!$R$5:$W$9,MATCH(ROUNDUP((J$1)/10,0)*10,[1]Hugst!$R$4:$W$4,0))))</f>
        <v>3406.1625830793469</v>
      </c>
      <c r="K205">
        <f ca="1">IF($C205-K$1&lt;År1,0,J204*(1-VLOOKUP($A205,[1]Hugst!$R$5:$W$9,MATCH(ROUNDUP((K$1)/10,0)*10,[1]Hugst!$R$4:$W$4,0))))</f>
        <v>3398.9876815072089</v>
      </c>
      <c r="L205">
        <f ca="1">IF($C205-L$1&lt;År1,0,K204*(1-VLOOKUP($A205,[1]Hugst!$R$5:$W$9,MATCH(ROUNDUP((L$1)/10,0)*10,[1]Hugst!$R$4:$W$4,0))))</f>
        <v>3391.7993558249086</v>
      </c>
      <c r="M205">
        <f ca="1">IF($C205-M$1&lt;År1,0,L204*(1-VLOOKUP($A205,[1]Hugst!$R$5:$W$9,MATCH(ROUNDUP((M$1)/10,0)*10,[1]Hugst!$R$4:$W$4,0))))</f>
        <v>5382.3248610884366</v>
      </c>
      <c r="N205">
        <f ca="1">IF($C205-N$1&lt;År1,0,M204*(1-VLOOKUP($A205,[1]Hugst!$R$5:$W$9,MATCH(ROUNDUP((N$1)/10,0)*10,[1]Hugst!$R$4:$W$4,0))))</f>
        <v>5375.1096341922748</v>
      </c>
      <c r="O205">
        <f ca="1">IF($C205-O$1&lt;År1,0,N204*(1-VLOOKUP($A205,[1]Hugst!$R$5:$W$9,MATCH(ROUNDUP((O$1)/10,0)*10,[1]Hugst!$R$4:$W$4,0))))</f>
        <v>5379.8117231109036</v>
      </c>
      <c r="P205">
        <f ca="1">IF($C205-P$1&lt;År1,0,O204*(1-VLOOKUP($A205,[1]Hugst!$R$5:$W$9,MATCH(ROUNDUP((P$1)/10,0)*10,[1]Hugst!$R$4:$W$4,0))))</f>
        <v>5372.7177242839443</v>
      </c>
      <c r="Q205">
        <f ca="1">IF($C205-Q$1&lt;År1,0,P204*(1-VLOOKUP($A205,[1]Hugst!$R$5:$W$9,MATCH(ROUNDUP((Q$1)/10,0)*10,[1]Hugst!$R$4:$W$4,0))))</f>
        <v>5365.6525900764927</v>
      </c>
      <c r="R205">
        <f ca="1">IF($C205-R$1&lt;År1,0,Q204*(1-VLOOKUP($A205,[1]Hugst!$R$5:$W$9,MATCH(ROUNDUP((R$1)/10,0)*10,[1]Hugst!$R$4:$W$4,0))))</f>
        <v>5358.6162945981805</v>
      </c>
      <c r="S205">
        <f ca="1">IF($C205-S$1&lt;År1,0,R204*(1-VLOOKUP($A205,[1]Hugst!$R$5:$W$9,MATCH(ROUNDUP((S$1)/10,0)*10,[1]Hugst!$R$4:$W$4,0))))</f>
        <v>5351.6088121211051</v>
      </c>
      <c r="T205">
        <f ca="1">IF($C205-T$1&lt;År1,0,S204*(1-VLOOKUP($A205,[1]Hugst!$R$5:$W$9,MATCH(ROUNDUP((T$1)/10,0)*10,[1]Hugst!$R$4:$W$4,0))))</f>
        <v>5344.6301170797533</v>
      </c>
      <c r="U205">
        <f ca="1">IF($C205-U$1&lt;År1,0,T204*(1-VLOOKUP($A205,[1]Hugst!$R$5:$W$9,MATCH(ROUNDUP((U$1)/10,0)*10,[1]Hugst!$R$4:$W$4,0))))</f>
        <v>5337.6801840709759</v>
      </c>
      <c r="V205">
        <f ca="1">IF($C205-V$1&lt;År1,0,U204*(1-VLOOKUP($A205,[1]Hugst!$R$5:$W$9,MATCH(ROUNDUP((V$1)/10,0)*10,[1]Hugst!$R$4:$W$4,0))))</f>
        <v>5330.7589878538647</v>
      </c>
      <c r="W205">
        <f ca="1">IF($C205-W$1&lt;År1,0,V204*(1-VLOOKUP($A205,[1]Hugst!$R$5:$W$9,MATCH(ROUNDUP((W$1)/10,0)*10,[1]Hugst!$R$4:$W$4,0))))</f>
        <v>5323.8665033498673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55000000000000004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105.72880156803876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3441.8363491980886</v>
      </c>
      <c r="G206">
        <f ca="1">IF($C206-G$1&lt;År1,0,F205*(1-VLOOKUP($A206,[1]Hugst!$R$5:$W$9,MATCH(ROUNDUP((G$1)/10,0)*10,[1]Hugst!$R$4:$W$4,0))))</f>
        <v>3434.7283024027579</v>
      </c>
      <c r="H206">
        <f ca="1">IF($C206-H$1&lt;År1,0,G205*(1-VLOOKUP($A206,[1]Hugst!$R$5:$W$9,MATCH(ROUNDUP((H$1)/10,0)*10,[1]Hugst!$R$4:$W$4,0))))</f>
        <v>3427.6069201536952</v>
      </c>
      <c r="I206">
        <f ca="1">IF($C206-I$1&lt;År1,0,H205*(1-VLOOKUP($A206,[1]Hugst!$R$5:$W$9,MATCH(ROUNDUP((I$1)/10,0)*10,[1]Hugst!$R$4:$W$4,0))))</f>
        <v>3420.4721846808766</v>
      </c>
      <c r="J206">
        <f ca="1">IF($C206-J$1&lt;År1,0,I205*(1-VLOOKUP($A206,[1]Hugst!$R$5:$W$9,MATCH(ROUNDUP((J$1)/10,0)*10,[1]Hugst!$R$4:$W$4,0))))</f>
        <v>3413.3240782332773</v>
      </c>
      <c r="K206">
        <f ca="1">IF($C206-K$1&lt;År1,0,J205*(1-VLOOKUP($A206,[1]Hugst!$R$5:$W$9,MATCH(ROUNDUP((K$1)/10,0)*10,[1]Hugst!$R$4:$W$4,0))))</f>
        <v>3406.1625830793469</v>
      </c>
      <c r="L206">
        <f ca="1">IF($C206-L$1&lt;År1,0,K205*(1-VLOOKUP($A206,[1]Hugst!$R$5:$W$9,MATCH(ROUNDUP((L$1)/10,0)*10,[1]Hugst!$R$4:$W$4,0))))</f>
        <v>3398.9876815072089</v>
      </c>
      <c r="M206">
        <f ca="1">IF($C206-M$1&lt;År1,0,L205*(1-VLOOKUP($A206,[1]Hugst!$R$5:$W$9,MATCH(ROUNDUP((M$1)/10,0)*10,[1]Hugst!$R$4:$W$4,0))))</f>
        <v>3391.7993558249086</v>
      </c>
      <c r="N206">
        <f ca="1">IF($C206-N$1&lt;År1,0,M205*(1-VLOOKUP($A206,[1]Hugst!$R$5:$W$9,MATCH(ROUNDUP((N$1)/10,0)*10,[1]Hugst!$R$4:$W$4,0))))</f>
        <v>5382.3248610884366</v>
      </c>
      <c r="O206">
        <f ca="1">IF($C206-O$1&lt;År1,0,N205*(1-VLOOKUP($A206,[1]Hugst!$R$5:$W$9,MATCH(ROUNDUP((O$1)/10,0)*10,[1]Hugst!$R$4:$W$4,0))))</f>
        <v>5375.1096341922748</v>
      </c>
      <c r="P206">
        <f ca="1">IF($C206-P$1&lt;År1,0,O205*(1-VLOOKUP($A206,[1]Hugst!$R$5:$W$9,MATCH(ROUNDUP((P$1)/10,0)*10,[1]Hugst!$R$4:$W$4,0))))</f>
        <v>5368.0023803040749</v>
      </c>
      <c r="Q206">
        <f ca="1">IF($C206-Q$1&lt;År1,0,P205*(1-VLOOKUP($A206,[1]Hugst!$R$5:$W$9,MATCH(ROUNDUP((Q$1)/10,0)*10,[1]Hugst!$R$4:$W$4,0))))</f>
        <v>5360.9239536696623</v>
      </c>
      <c r="R206">
        <f ca="1">IF($C206-R$1&lt;År1,0,Q205*(1-VLOOKUP($A206,[1]Hugst!$R$5:$W$9,MATCH(ROUNDUP((R$1)/10,0)*10,[1]Hugst!$R$4:$W$4,0))))</f>
        <v>5353.8743282933983</v>
      </c>
      <c r="S206">
        <f ca="1">IF($C206-S$1&lt;År1,0,R205*(1-VLOOKUP($A206,[1]Hugst!$R$5:$W$9,MATCH(ROUNDUP((S$1)/10,0)*10,[1]Hugst!$R$4:$W$4,0))))</f>
        <v>5346.8534783417454</v>
      </c>
      <c r="T206">
        <f ca="1">IF($C206-T$1&lt;År1,0,S205*(1-VLOOKUP($A206,[1]Hugst!$R$5:$W$9,MATCH(ROUNDUP((T$1)/10,0)*10,[1]Hugst!$R$4:$W$4,0))))</f>
        <v>5339.8613781432787</v>
      </c>
      <c r="U206">
        <f ca="1">IF($C206-U$1&lt;År1,0,T205*(1-VLOOKUP($A206,[1]Hugst!$R$5:$W$9,MATCH(ROUNDUP((U$1)/10,0)*10,[1]Hugst!$R$4:$W$4,0))))</f>
        <v>5332.8980021886027</v>
      </c>
      <c r="V206">
        <f ca="1">IF($C206-V$1&lt;År1,0,U205*(1-VLOOKUP($A206,[1]Hugst!$R$5:$W$9,MATCH(ROUNDUP((V$1)/10,0)*10,[1]Hugst!$R$4:$W$4,0))))</f>
        <v>5325.9633251303321</v>
      </c>
      <c r="W206">
        <f ca="1">IF($C206-W$1&lt;År1,0,V205*(1-VLOOKUP($A206,[1]Hugst!$R$5:$W$9,MATCH(ROUNDUP((W$1)/10,0)*10,[1]Hugst!$R$4:$W$4,0))))</f>
        <v>5319.057321782966</v>
      </c>
      <c r="X206">
        <f ca="1">IF($C206-X$1&lt;År1,0,W205*(1-VLOOKUP($A206,[1]Hugst!$R$5:$W$9,MATCH(ROUNDUP((X$1)/10,0)*10,[1]Hugst!$R$4:$W$4,0))))</f>
        <v>5312.1799671230019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55000000000000004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117.29573510304908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3448.9310783282303</v>
      </c>
      <c r="G207">
        <f ca="1">IF($C207-G$1&lt;År1,0,F206*(1-VLOOKUP($A207,[1]Hugst!$R$5:$W$9,MATCH(ROUNDUP((G$1)/10,0)*10,[1]Hugst!$R$4:$W$4,0))))</f>
        <v>3441.8363491980886</v>
      </c>
      <c r="H207">
        <f ca="1">IF($C207-H$1&lt;År1,0,G206*(1-VLOOKUP($A207,[1]Hugst!$R$5:$W$9,MATCH(ROUNDUP((H$1)/10,0)*10,[1]Hugst!$R$4:$W$4,0))))</f>
        <v>3434.7283024027579</v>
      </c>
      <c r="I207">
        <f ca="1">IF($C207-I$1&lt;År1,0,H206*(1-VLOOKUP($A207,[1]Hugst!$R$5:$W$9,MATCH(ROUNDUP((I$1)/10,0)*10,[1]Hugst!$R$4:$W$4,0))))</f>
        <v>3427.6069201536952</v>
      </c>
      <c r="J207">
        <f ca="1">IF($C207-J$1&lt;År1,0,I206*(1-VLOOKUP($A207,[1]Hugst!$R$5:$W$9,MATCH(ROUNDUP((J$1)/10,0)*10,[1]Hugst!$R$4:$W$4,0))))</f>
        <v>3420.4721846808766</v>
      </c>
      <c r="K207">
        <f ca="1">IF($C207-K$1&lt;År1,0,J206*(1-VLOOKUP($A207,[1]Hugst!$R$5:$W$9,MATCH(ROUNDUP((K$1)/10,0)*10,[1]Hugst!$R$4:$W$4,0))))</f>
        <v>3413.3240782332773</v>
      </c>
      <c r="L207">
        <f ca="1">IF($C207-L$1&lt;År1,0,K206*(1-VLOOKUP($A207,[1]Hugst!$R$5:$W$9,MATCH(ROUNDUP((L$1)/10,0)*10,[1]Hugst!$R$4:$W$4,0))))</f>
        <v>3406.1625830793469</v>
      </c>
      <c r="M207">
        <f ca="1">IF($C207-M$1&lt;År1,0,L206*(1-VLOOKUP($A207,[1]Hugst!$R$5:$W$9,MATCH(ROUNDUP((M$1)/10,0)*10,[1]Hugst!$R$4:$W$4,0))))</f>
        <v>3398.9876815072089</v>
      </c>
      <c r="N207">
        <f ca="1">IF($C207-N$1&lt;År1,0,M206*(1-VLOOKUP($A207,[1]Hugst!$R$5:$W$9,MATCH(ROUNDUP((N$1)/10,0)*10,[1]Hugst!$R$4:$W$4,0))))</f>
        <v>3391.7993558249086</v>
      </c>
      <c r="O207">
        <f ca="1">IF($C207-O$1&lt;År1,0,N206*(1-VLOOKUP($A207,[1]Hugst!$R$5:$W$9,MATCH(ROUNDUP((O$1)/10,0)*10,[1]Hugst!$R$4:$W$4,0))))</f>
        <v>5382.3248610884366</v>
      </c>
      <c r="P207">
        <f ca="1">IF($C207-P$1&lt;År1,0,O206*(1-VLOOKUP($A207,[1]Hugst!$R$5:$W$9,MATCH(ROUNDUP((P$1)/10,0)*10,[1]Hugst!$R$4:$W$4,0))))</f>
        <v>5363.3106130440483</v>
      </c>
      <c r="Q207">
        <f ca="1">IF($C207-Q$1&lt;År1,0,P206*(1-VLOOKUP($A207,[1]Hugst!$R$5:$W$9,MATCH(ROUNDUP((Q$1)/10,0)*10,[1]Hugst!$R$4:$W$4,0))))</f>
        <v>5356.2189604448704</v>
      </c>
      <c r="R207">
        <f ca="1">IF($C207-R$1&lt;År1,0,Q206*(1-VLOOKUP($A207,[1]Hugst!$R$5:$W$9,MATCH(ROUNDUP((R$1)/10,0)*10,[1]Hugst!$R$4:$W$4,0))))</f>
        <v>5349.1560718201436</v>
      </c>
      <c r="S207">
        <f ca="1">IF($C207-S$1&lt;År1,0,R206*(1-VLOOKUP($A207,[1]Hugst!$R$5:$W$9,MATCH(ROUNDUP((S$1)/10,0)*10,[1]Hugst!$R$4:$W$4,0))))</f>
        <v>5342.1219212312908</v>
      </c>
      <c r="T207">
        <f ca="1">IF($C207-T$1&lt;År1,0,S206*(1-VLOOKUP($A207,[1]Hugst!$R$5:$W$9,MATCH(ROUNDUP((T$1)/10,0)*10,[1]Hugst!$R$4:$W$4,0))))</f>
        <v>5335.1164829014833</v>
      </c>
      <c r="U207">
        <f ca="1">IF($C207-U$1&lt;År1,0,T206*(1-VLOOKUP($A207,[1]Hugst!$R$5:$W$9,MATCH(ROUNDUP((U$1)/10,0)*10,[1]Hugst!$R$4:$W$4,0))))</f>
        <v>5328.1397312156469</v>
      </c>
      <c r="V207">
        <f ca="1">IF($C207-V$1&lt;År1,0,U206*(1-VLOOKUP($A207,[1]Hugst!$R$5:$W$9,MATCH(ROUNDUP((V$1)/10,0)*10,[1]Hugst!$R$4:$W$4,0))))</f>
        <v>5321.1916407203835</v>
      </c>
      <c r="W207">
        <f ca="1">IF($C207-W$1&lt;År1,0,V206*(1-VLOOKUP($A207,[1]Hugst!$R$5:$W$9,MATCH(ROUNDUP((W$1)/10,0)*10,[1]Hugst!$R$4:$W$4,0))))</f>
        <v>5314.2721861239488</v>
      </c>
      <c r="X207">
        <f ca="1">IF($C207-X$1&lt;År1,0,W206*(1-VLOOKUP($A207,[1]Hugst!$R$5:$W$9,MATCH(ROUNDUP((X$1)/10,0)*10,[1]Hugst!$R$4:$W$4,0))))</f>
        <v>5307.3813422961257</v>
      </c>
      <c r="Y207">
        <f ca="1">IF($C207-Y$1&lt;År1,0,X206*(1-VLOOKUP($A207,[1]Hugst!$R$5:$W$9,MATCH(ROUNDUP((Y$1)/10,0)*10,[1]Hugst!$R$4:$W$4,0))))</f>
        <v>5300.5190842683414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55000000000000004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123.68187798032886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3450.8673778227417</v>
      </c>
      <c r="G208">
        <f ca="1">IF($C208-G$1&lt;År1,0,F207*(1-VLOOKUP($A208,[1]Hugst!$R$5:$W$9,MATCH(ROUNDUP((G$1)/10,0)*10,[1]Hugst!$R$4:$W$4,0))))</f>
        <v>3448.9310783282303</v>
      </c>
      <c r="H208">
        <f ca="1">IF($C208-H$1&lt;År1,0,G207*(1-VLOOKUP($A208,[1]Hugst!$R$5:$W$9,MATCH(ROUNDUP((H$1)/10,0)*10,[1]Hugst!$R$4:$W$4,0))))</f>
        <v>3441.8363491980886</v>
      </c>
      <c r="I208">
        <f ca="1">IF($C208-I$1&lt;År1,0,H207*(1-VLOOKUP($A208,[1]Hugst!$R$5:$W$9,MATCH(ROUNDUP((I$1)/10,0)*10,[1]Hugst!$R$4:$W$4,0))))</f>
        <v>3434.7283024027579</v>
      </c>
      <c r="J208">
        <f ca="1">IF($C208-J$1&lt;År1,0,I207*(1-VLOOKUP($A208,[1]Hugst!$R$5:$W$9,MATCH(ROUNDUP((J$1)/10,0)*10,[1]Hugst!$R$4:$W$4,0))))</f>
        <v>3427.6069201536952</v>
      </c>
      <c r="K208">
        <f ca="1">IF($C208-K$1&lt;År1,0,J207*(1-VLOOKUP($A208,[1]Hugst!$R$5:$W$9,MATCH(ROUNDUP((K$1)/10,0)*10,[1]Hugst!$R$4:$W$4,0))))</f>
        <v>3420.4721846808766</v>
      </c>
      <c r="L208">
        <f ca="1">IF($C208-L$1&lt;År1,0,K207*(1-VLOOKUP($A208,[1]Hugst!$R$5:$W$9,MATCH(ROUNDUP((L$1)/10,0)*10,[1]Hugst!$R$4:$W$4,0))))</f>
        <v>3413.3240782332773</v>
      </c>
      <c r="M208">
        <f ca="1">IF($C208-M$1&lt;År1,0,L207*(1-VLOOKUP($A208,[1]Hugst!$R$5:$W$9,MATCH(ROUNDUP((M$1)/10,0)*10,[1]Hugst!$R$4:$W$4,0))))</f>
        <v>3406.1625830793469</v>
      </c>
      <c r="N208">
        <f ca="1">IF($C208-N$1&lt;År1,0,M207*(1-VLOOKUP($A208,[1]Hugst!$R$5:$W$9,MATCH(ROUNDUP((N$1)/10,0)*10,[1]Hugst!$R$4:$W$4,0))))</f>
        <v>3398.9876815072089</v>
      </c>
      <c r="O208">
        <f ca="1">IF($C208-O$1&lt;År1,0,N207*(1-VLOOKUP($A208,[1]Hugst!$R$5:$W$9,MATCH(ROUNDUP((O$1)/10,0)*10,[1]Hugst!$R$4:$W$4,0))))</f>
        <v>3391.7993558249086</v>
      </c>
      <c r="P208">
        <f ca="1">IF($C208-P$1&lt;År1,0,O207*(1-VLOOKUP($A208,[1]Hugst!$R$5:$W$9,MATCH(ROUNDUP((P$1)/10,0)*10,[1]Hugst!$R$4:$W$4,0))))</f>
        <v>5370.5100016372671</v>
      </c>
      <c r="Q208">
        <f ca="1">IF($C208-Q$1&lt;År1,0,P207*(1-VLOOKUP($A208,[1]Hugst!$R$5:$W$9,MATCH(ROUNDUP((Q$1)/10,0)*10,[1]Hugst!$R$4:$W$4,0))))</f>
        <v>5351.5374921861467</v>
      </c>
      <c r="R208">
        <f ca="1">IF($C208-R$1&lt;År1,0,Q207*(1-VLOOKUP($A208,[1]Hugst!$R$5:$W$9,MATCH(ROUNDUP((R$1)/10,0)*10,[1]Hugst!$R$4:$W$4,0))))</f>
        <v>5344.4614066292597</v>
      </c>
      <c r="S208">
        <f ca="1">IF($C208-S$1&lt;År1,0,R207*(1-VLOOKUP($A208,[1]Hugst!$R$5:$W$9,MATCH(ROUNDUP((S$1)/10,0)*10,[1]Hugst!$R$4:$W$4,0))))</f>
        <v>5337.414021906392</v>
      </c>
      <c r="T208">
        <f ca="1">IF($C208-T$1&lt;År1,0,S207*(1-VLOOKUP($A208,[1]Hugst!$R$5:$W$9,MATCH(ROUNDUP((T$1)/10,0)*10,[1]Hugst!$R$4:$W$4,0))))</f>
        <v>5330.3953121359054</v>
      </c>
      <c r="U208">
        <f ca="1">IF($C208-U$1&lt;År1,0,T207*(1-VLOOKUP($A208,[1]Hugst!$R$5:$W$9,MATCH(ROUNDUP((U$1)/10,0)*10,[1]Hugst!$R$4:$W$4,0))))</f>
        <v>5323.4052515975536</v>
      </c>
      <c r="V208">
        <f ca="1">IF($C208-V$1&lt;År1,0,U207*(1-VLOOKUP($A208,[1]Hugst!$R$5:$W$9,MATCH(ROUNDUP((V$1)/10,0)*10,[1]Hugst!$R$4:$W$4,0))))</f>
        <v>5316.4438147324909</v>
      </c>
      <c r="W208">
        <f ca="1">IF($C208-W$1&lt;År1,0,V207*(1-VLOOKUP($A208,[1]Hugst!$R$5:$W$9,MATCH(ROUNDUP((W$1)/10,0)*10,[1]Hugst!$R$4:$W$4,0))))</f>
        <v>5309.5109761431922</v>
      </c>
      <c r="X208">
        <f ca="1">IF($C208-X$1&lt;År1,0,W207*(1-VLOOKUP($A208,[1]Hugst!$R$5:$W$9,MATCH(ROUNDUP((X$1)/10,0)*10,[1]Hugst!$R$4:$W$4,0))))</f>
        <v>5302.6067105934326</v>
      </c>
      <c r="Y208">
        <f ca="1">IF($C208-Y$1&lt;År1,0,X207*(1-VLOOKUP($A208,[1]Hugst!$R$5:$W$9,MATCH(ROUNDUP((Y$1)/10,0)*10,[1]Hugst!$R$4:$W$4,0))))</f>
        <v>5295.7309930081583</v>
      </c>
      <c r="Z208">
        <f ca="1">IF($C208-Z$1&lt;År1,0,Y207*(1-VLOOKUP($A208,[1]Hugst!$R$5:$W$9,MATCH(ROUNDUP((Z$1)/10,0)*10,[1]Hugst!$R$4:$W$4,0))))</f>
        <v>5294.0550366046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55000000000000004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125.69553396063566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3448.4534396371851</v>
      </c>
      <c r="G209">
        <f ca="1">IF($C209-G$1&lt;År1,0,F208*(1-VLOOKUP($A209,[1]Hugst!$R$5:$W$9,MATCH(ROUNDUP((G$1)/10,0)*10,[1]Hugst!$R$4:$W$4,0))))</f>
        <v>3450.8673778227417</v>
      </c>
      <c r="H209">
        <f ca="1">IF($C209-H$1&lt;År1,0,G208*(1-VLOOKUP($A209,[1]Hugst!$R$5:$W$9,MATCH(ROUNDUP((H$1)/10,0)*10,[1]Hugst!$R$4:$W$4,0))))</f>
        <v>3448.9310783282303</v>
      </c>
      <c r="I209">
        <f ca="1">IF($C209-I$1&lt;År1,0,H208*(1-VLOOKUP($A209,[1]Hugst!$R$5:$W$9,MATCH(ROUNDUP((I$1)/10,0)*10,[1]Hugst!$R$4:$W$4,0))))</f>
        <v>3441.8363491980886</v>
      </c>
      <c r="J209">
        <f ca="1">IF($C209-J$1&lt;År1,0,I208*(1-VLOOKUP($A209,[1]Hugst!$R$5:$W$9,MATCH(ROUNDUP((J$1)/10,0)*10,[1]Hugst!$R$4:$W$4,0))))</f>
        <v>3434.7283024027579</v>
      </c>
      <c r="K209">
        <f ca="1">IF($C209-K$1&lt;År1,0,J208*(1-VLOOKUP($A209,[1]Hugst!$R$5:$W$9,MATCH(ROUNDUP((K$1)/10,0)*10,[1]Hugst!$R$4:$W$4,0))))</f>
        <v>3427.6069201536952</v>
      </c>
      <c r="L209">
        <f ca="1">IF($C209-L$1&lt;År1,0,K208*(1-VLOOKUP($A209,[1]Hugst!$R$5:$W$9,MATCH(ROUNDUP((L$1)/10,0)*10,[1]Hugst!$R$4:$W$4,0))))</f>
        <v>3420.4721846808766</v>
      </c>
      <c r="M209">
        <f ca="1">IF($C209-M$1&lt;År1,0,L208*(1-VLOOKUP($A209,[1]Hugst!$R$5:$W$9,MATCH(ROUNDUP((M$1)/10,0)*10,[1]Hugst!$R$4:$W$4,0))))</f>
        <v>3413.3240782332773</v>
      </c>
      <c r="N209">
        <f ca="1">IF($C209-N$1&lt;År1,0,M208*(1-VLOOKUP($A209,[1]Hugst!$R$5:$W$9,MATCH(ROUNDUP((N$1)/10,0)*10,[1]Hugst!$R$4:$W$4,0))))</f>
        <v>3406.1625830793469</v>
      </c>
      <c r="O209">
        <f ca="1">IF($C209-O$1&lt;År1,0,N208*(1-VLOOKUP($A209,[1]Hugst!$R$5:$W$9,MATCH(ROUNDUP((O$1)/10,0)*10,[1]Hugst!$R$4:$W$4,0))))</f>
        <v>3398.9876815072089</v>
      </c>
      <c r="P209">
        <f ca="1">IF($C209-P$1&lt;År1,0,O208*(1-VLOOKUP($A209,[1]Hugst!$R$5:$W$9,MATCH(ROUNDUP((P$1)/10,0)*10,[1]Hugst!$R$4:$W$4,0))))</f>
        <v>3384.3539426048051</v>
      </c>
      <c r="Q209">
        <f ca="1">IF($C209-Q$1&lt;År1,0,P208*(1-VLOOKUP($A209,[1]Hugst!$R$5:$W$9,MATCH(ROUNDUP((Q$1)/10,0)*10,[1]Hugst!$R$4:$W$4,0))))</f>
        <v>5358.7210772434291</v>
      </c>
      <c r="R209">
        <f ca="1">IF($C209-R$1&lt;År1,0,Q208*(1-VLOOKUP($A209,[1]Hugst!$R$5:$W$9,MATCH(ROUNDUP((R$1)/10,0)*10,[1]Hugst!$R$4:$W$4,0))))</f>
        <v>5339.7902147642744</v>
      </c>
      <c r="S209">
        <f ca="1">IF($C209-S$1&lt;År1,0,R208*(1-VLOOKUP($A209,[1]Hugst!$R$5:$W$9,MATCH(ROUNDUP((S$1)/10,0)*10,[1]Hugst!$R$4:$W$4,0))))</f>
        <v>5332.7296620781226</v>
      </c>
      <c r="T209">
        <f ca="1">IF($C209-T$1&lt;År1,0,S208*(1-VLOOKUP($A209,[1]Hugst!$R$5:$W$9,MATCH(ROUNDUP((T$1)/10,0)*10,[1]Hugst!$R$4:$W$4,0))))</f>
        <v>5325.6977472241588</v>
      </c>
      <c r="U209">
        <f ca="1">IF($C209-U$1&lt;År1,0,T208*(1-VLOOKUP($A209,[1]Hugst!$R$5:$W$9,MATCH(ROUNDUP((U$1)/10,0)*10,[1]Hugst!$R$4:$W$4,0))))</f>
        <v>5318.6944443775583</v>
      </c>
      <c r="V209">
        <f ca="1">IF($C209-V$1&lt;År1,0,U208*(1-VLOOKUP($A209,[1]Hugst!$R$5:$W$9,MATCH(ROUNDUP((V$1)/10,0)*10,[1]Hugst!$R$4:$W$4,0))))</f>
        <v>5311.7197278745343</v>
      </c>
      <c r="W209">
        <f ca="1">IF($C209-W$1&lt;År1,0,V208*(1-VLOOKUP($A209,[1]Hugst!$R$5:$W$9,MATCH(ROUNDUP((W$1)/10,0)*10,[1]Hugst!$R$4:$W$4,0))))</f>
        <v>5304.7735722123462</v>
      </c>
      <c r="X209">
        <f ca="1">IF($C209-X$1&lt;År1,0,W208*(1-VLOOKUP($A209,[1]Hugst!$R$5:$W$9,MATCH(ROUNDUP((X$1)/10,0)*10,[1]Hugst!$R$4:$W$4,0))))</f>
        <v>5297.855952049219</v>
      </c>
      <c r="Y209">
        <f ca="1">IF($C209-Y$1&lt;År1,0,X208*(1-VLOOKUP($A209,[1]Hugst!$R$5:$W$9,MATCH(ROUNDUP((Y$1)/10,0)*10,[1]Hugst!$R$4:$W$4,0))))</f>
        <v>5290.9668422043251</v>
      </c>
      <c r="Z209">
        <f ca="1">IF($C209-Z$1&lt;År1,0,Y208*(1-VLOOKUP($A209,[1]Hugst!$R$5:$W$9,MATCH(ROUNDUP((Z$1)/10,0)*10,[1]Hugst!$R$4:$W$4,0))))</f>
        <v>5289.2727844800993</v>
      </c>
      <c r="AA209">
        <f ca="1">IF($C209-AA$1&lt;År1,0,Z208*(1-VLOOKUP($A209,[1]Hugst!$R$5:$W$9,MATCH(ROUNDUP((AA$1)/10,0)*10,[1]Hugst!$R$4:$W$4,0))))</f>
        <v>5287.5988719258139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55000000000000004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127.73148992448114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3446.0839394059653</v>
      </c>
      <c r="G210">
        <f ca="1">IF($C210-G$1&lt;År1,0,F209*(1-VLOOKUP($A210,[1]Hugst!$R$5:$W$9,MATCH(ROUNDUP((G$1)/10,0)*10,[1]Hugst!$R$4:$W$4,0))))</f>
        <v>3448.4534396371851</v>
      </c>
      <c r="H210">
        <f ca="1">IF($C210-H$1&lt;År1,0,G209*(1-VLOOKUP($A210,[1]Hugst!$R$5:$W$9,MATCH(ROUNDUP((H$1)/10,0)*10,[1]Hugst!$R$4:$W$4,0))))</f>
        <v>3450.8673778227417</v>
      </c>
      <c r="I210">
        <f ca="1">IF($C210-I$1&lt;År1,0,H209*(1-VLOOKUP($A210,[1]Hugst!$R$5:$W$9,MATCH(ROUNDUP((I$1)/10,0)*10,[1]Hugst!$R$4:$W$4,0))))</f>
        <v>3448.9310783282303</v>
      </c>
      <c r="J210">
        <f ca="1">IF($C210-J$1&lt;År1,0,I209*(1-VLOOKUP($A210,[1]Hugst!$R$5:$W$9,MATCH(ROUNDUP((J$1)/10,0)*10,[1]Hugst!$R$4:$W$4,0))))</f>
        <v>3441.8363491980886</v>
      </c>
      <c r="K210">
        <f ca="1">IF($C210-K$1&lt;År1,0,J209*(1-VLOOKUP($A210,[1]Hugst!$R$5:$W$9,MATCH(ROUNDUP((K$1)/10,0)*10,[1]Hugst!$R$4:$W$4,0))))</f>
        <v>3434.7283024027579</v>
      </c>
      <c r="L210">
        <f ca="1">IF($C210-L$1&lt;År1,0,K209*(1-VLOOKUP($A210,[1]Hugst!$R$5:$W$9,MATCH(ROUNDUP((L$1)/10,0)*10,[1]Hugst!$R$4:$W$4,0))))</f>
        <v>3427.6069201536952</v>
      </c>
      <c r="M210">
        <f ca="1">IF($C210-M$1&lt;År1,0,L209*(1-VLOOKUP($A210,[1]Hugst!$R$5:$W$9,MATCH(ROUNDUP((M$1)/10,0)*10,[1]Hugst!$R$4:$W$4,0))))</f>
        <v>3420.4721846808766</v>
      </c>
      <c r="N210">
        <f ca="1">IF($C210-N$1&lt;År1,0,M209*(1-VLOOKUP($A210,[1]Hugst!$R$5:$W$9,MATCH(ROUNDUP((N$1)/10,0)*10,[1]Hugst!$R$4:$W$4,0))))</f>
        <v>3413.3240782332773</v>
      </c>
      <c r="O210">
        <f ca="1">IF($C210-O$1&lt;År1,0,N209*(1-VLOOKUP($A210,[1]Hugst!$R$5:$W$9,MATCH(ROUNDUP((O$1)/10,0)*10,[1]Hugst!$R$4:$W$4,0))))</f>
        <v>3406.1625830793469</v>
      </c>
      <c r="P210">
        <f ca="1">IF($C210-P$1&lt;År1,0,O209*(1-VLOOKUP($A210,[1]Hugst!$R$5:$W$9,MATCH(ROUNDUP((P$1)/10,0)*10,[1]Hugst!$R$4:$W$4,0))))</f>
        <v>3391.5264890356075</v>
      </c>
      <c r="Q210">
        <f ca="1">IF($C210-Q$1&lt;År1,0,P209*(1-VLOOKUP($A210,[1]Hugst!$R$5:$W$9,MATCH(ROUNDUP((Q$1)/10,0)*10,[1]Hugst!$R$4:$W$4,0))))</f>
        <v>3376.9248729746969</v>
      </c>
      <c r="R210">
        <f ca="1">IF($C210-R$1&lt;År1,0,Q209*(1-VLOOKUP($A210,[1]Hugst!$R$5:$W$9,MATCH(ROUNDUP((R$1)/10,0)*10,[1]Hugst!$R$4:$W$4,0))))</f>
        <v>5346.9580309763096</v>
      </c>
      <c r="S210">
        <f ca="1">IF($C210-S$1&lt;År1,0,R209*(1-VLOOKUP($A210,[1]Hugst!$R$5:$W$9,MATCH(ROUNDUP((S$1)/10,0)*10,[1]Hugst!$R$4:$W$4,0))))</f>
        <v>5328.0687240489378</v>
      </c>
      <c r="T210">
        <f ca="1">IF($C210-T$1&lt;År1,0,S209*(1-VLOOKUP($A210,[1]Hugst!$R$5:$W$9,MATCH(ROUNDUP((T$1)/10,0)*10,[1]Hugst!$R$4:$W$4,0))))</f>
        <v>5321.0236701369759</v>
      </c>
      <c r="U210">
        <f ca="1">IF($C210-U$1&lt;År1,0,T209*(1-VLOOKUP($A210,[1]Hugst!$R$5:$W$9,MATCH(ROUNDUP((U$1)/10,0)*10,[1]Hugst!$R$4:$W$4,0))))</f>
        <v>5314.0071911936666</v>
      </c>
      <c r="V210">
        <f ca="1">IF($C210-V$1&lt;År1,0,U209*(1-VLOOKUP($A210,[1]Hugst!$R$5:$W$9,MATCH(ROUNDUP((V$1)/10,0)*10,[1]Hugst!$R$4:$W$4,0))))</f>
        <v>5307.019261450876</v>
      </c>
      <c r="W210">
        <f ca="1">IF($C210-W$1&lt;År1,0,V209*(1-VLOOKUP($A210,[1]Hugst!$R$5:$W$9,MATCH(ROUNDUP((W$1)/10,0)*10,[1]Hugst!$R$4:$W$4,0))))</f>
        <v>5300.0598553011514</v>
      </c>
      <c r="X210">
        <f ca="1">IF($C210-X$1&lt;År1,0,W209*(1-VLOOKUP($A210,[1]Hugst!$R$5:$W$9,MATCH(ROUNDUP((X$1)/10,0)*10,[1]Hugst!$R$4:$W$4,0))))</f>
        <v>5293.1289472977332</v>
      </c>
      <c r="Y210">
        <f ca="1">IF($C210-Y$1&lt;År1,0,X209*(1-VLOOKUP($A210,[1]Hugst!$R$5:$W$9,MATCH(ROUNDUP((Y$1)/10,0)*10,[1]Hugst!$R$4:$W$4,0))))</f>
        <v>5286.2265121544769</v>
      </c>
      <c r="Z210">
        <f ca="1">IF($C210-Z$1&lt;År1,0,Y209*(1-VLOOKUP($A210,[1]Hugst!$R$5:$W$9,MATCH(ROUNDUP((Z$1)/10,0)*10,[1]Hugst!$R$4:$W$4,0))))</f>
        <v>5284.5144436162709</v>
      </c>
      <c r="AA210">
        <f ca="1">IF($C210-AA$1&lt;År1,0,Z209*(1-VLOOKUP($A210,[1]Hugst!$R$5:$W$9,MATCH(ROUNDUP((AA$1)/10,0)*10,[1]Hugst!$R$4:$W$4,0))))</f>
        <v>5282.8224518160996</v>
      </c>
      <c r="AB210">
        <f ca="1">IF($C210-AB$1&lt;År1,0,AA209*(1-VLOOKUP($A210,[1]Hugst!$R$5:$W$9,MATCH(ROUNDUP((AB$1)/10,0)*10,[1]Hugst!$R$4:$W$4,0))))</f>
        <v>5281.1505806185869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55000000000000004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129.78963087084412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3443.7586514382451</v>
      </c>
      <c r="G211">
        <f ca="1">IF($C211-G$1&lt;År1,0,F210*(1-VLOOKUP($A211,[1]Hugst!$R$5:$W$9,MATCH(ROUNDUP((G$1)/10,0)*10,[1]Hugst!$R$4:$W$4,0))))</f>
        <v>3446.0839394059653</v>
      </c>
      <c r="H211">
        <f ca="1">IF($C211-H$1&lt;År1,0,G210*(1-VLOOKUP($A211,[1]Hugst!$R$5:$W$9,MATCH(ROUNDUP((H$1)/10,0)*10,[1]Hugst!$R$4:$W$4,0))))</f>
        <v>3448.4534396371851</v>
      </c>
      <c r="I211">
        <f ca="1">IF($C211-I$1&lt;År1,0,H210*(1-VLOOKUP($A211,[1]Hugst!$R$5:$W$9,MATCH(ROUNDUP((I$1)/10,0)*10,[1]Hugst!$R$4:$W$4,0))))</f>
        <v>3450.8673778227417</v>
      </c>
      <c r="J211">
        <f ca="1">IF($C211-J$1&lt;År1,0,I210*(1-VLOOKUP($A211,[1]Hugst!$R$5:$W$9,MATCH(ROUNDUP((J$1)/10,0)*10,[1]Hugst!$R$4:$W$4,0))))</f>
        <v>3448.9310783282303</v>
      </c>
      <c r="K211">
        <f ca="1">IF($C211-K$1&lt;År1,0,J210*(1-VLOOKUP($A211,[1]Hugst!$R$5:$W$9,MATCH(ROUNDUP((K$1)/10,0)*10,[1]Hugst!$R$4:$W$4,0))))</f>
        <v>3441.8363491980886</v>
      </c>
      <c r="L211">
        <f ca="1">IF($C211-L$1&lt;År1,0,K210*(1-VLOOKUP($A211,[1]Hugst!$R$5:$W$9,MATCH(ROUNDUP((L$1)/10,0)*10,[1]Hugst!$R$4:$W$4,0))))</f>
        <v>3434.7283024027579</v>
      </c>
      <c r="M211">
        <f ca="1">IF($C211-M$1&lt;År1,0,L210*(1-VLOOKUP($A211,[1]Hugst!$R$5:$W$9,MATCH(ROUNDUP((M$1)/10,0)*10,[1]Hugst!$R$4:$W$4,0))))</f>
        <v>3427.6069201536952</v>
      </c>
      <c r="N211">
        <f ca="1">IF($C211-N$1&lt;År1,0,M210*(1-VLOOKUP($A211,[1]Hugst!$R$5:$W$9,MATCH(ROUNDUP((N$1)/10,0)*10,[1]Hugst!$R$4:$W$4,0))))</f>
        <v>3420.4721846808766</v>
      </c>
      <c r="O211">
        <f ca="1">IF($C211-O$1&lt;År1,0,N210*(1-VLOOKUP($A211,[1]Hugst!$R$5:$W$9,MATCH(ROUNDUP((O$1)/10,0)*10,[1]Hugst!$R$4:$W$4,0))))</f>
        <v>3413.3240782332773</v>
      </c>
      <c r="P211">
        <f ca="1">IF($C211-P$1&lt;År1,0,O210*(1-VLOOKUP($A211,[1]Hugst!$R$5:$W$9,MATCH(ROUNDUP((P$1)/10,0)*10,[1]Hugst!$R$4:$W$4,0))))</f>
        <v>3398.6856408238068</v>
      </c>
      <c r="Q211">
        <f ca="1">IF($C211-Q$1&lt;År1,0,P210*(1-VLOOKUP($A211,[1]Hugst!$R$5:$W$9,MATCH(ROUNDUP((Q$1)/10,0)*10,[1]Hugst!$R$4:$W$4,0))))</f>
        <v>3384.0816747913832</v>
      </c>
      <c r="R211">
        <f ca="1">IF($C211-R$1&lt;År1,0,Q210*(1-VLOOKUP($A211,[1]Hugst!$R$5:$W$9,MATCH(ROUNDUP((R$1)/10,0)*10,[1]Hugst!$R$4:$W$4,0))))</f>
        <v>3369.5121110584109</v>
      </c>
      <c r="S211">
        <f ca="1">IF($C211-S$1&lt;År1,0,R210*(1-VLOOKUP($A211,[1]Hugst!$R$5:$W$9,MATCH(ROUNDUP((S$1)/10,0)*10,[1]Hugst!$R$4:$W$4,0))))</f>
        <v>5335.2208060302637</v>
      </c>
      <c r="T211">
        <f ca="1">IF($C211-T$1&lt;År1,0,S210*(1-VLOOKUP($A211,[1]Hugst!$R$5:$W$9,MATCH(ROUNDUP((T$1)/10,0)*10,[1]Hugst!$R$4:$W$4,0))))</f>
        <v>5316.3729634351721</v>
      </c>
      <c r="U211">
        <f ca="1">IF($C211-U$1&lt;År1,0,T210*(1-VLOOKUP($A211,[1]Hugst!$R$5:$W$9,MATCH(ROUNDUP((U$1)/10,0)*10,[1]Hugst!$R$4:$W$4,0))))</f>
        <v>5309.3433742756997</v>
      </c>
      <c r="V211">
        <f ca="1">IF($C211-V$1&lt;År1,0,U210*(1-VLOOKUP($A211,[1]Hugst!$R$5:$W$9,MATCH(ROUNDUP((V$1)/10,0)*10,[1]Hugst!$R$4:$W$4,0))))</f>
        <v>5302.3422973593388</v>
      </c>
      <c r="W211">
        <f ca="1">IF($C211-W$1&lt;År1,0,V210*(1-VLOOKUP($A211,[1]Hugst!$R$5:$W$9,MATCH(ROUNDUP((W$1)/10,0)*10,[1]Hugst!$R$4:$W$4,0))))</f>
        <v>5295.3697069745203</v>
      </c>
      <c r="X211">
        <f ca="1">IF($C211-X$1&lt;År1,0,W210*(1-VLOOKUP($A211,[1]Hugst!$R$5:$W$9,MATCH(ROUNDUP((X$1)/10,0)*10,[1]Hugst!$R$4:$W$4,0))))</f>
        <v>5288.4255775700021</v>
      </c>
      <c r="Y211">
        <f ca="1">IF($C211-Y$1&lt;År1,0,X210*(1-VLOOKUP($A211,[1]Hugst!$R$5:$W$9,MATCH(ROUNDUP((Y$1)/10,0)*10,[1]Hugst!$R$4:$W$4,0))))</f>
        <v>5281.5098837548849</v>
      </c>
      <c r="Z211">
        <f ca="1">IF($C211-Z$1&lt;År1,0,Y210*(1-VLOOKUP($A211,[1]Hugst!$R$5:$W$9,MATCH(ROUNDUP((Z$1)/10,0)*10,[1]Hugst!$R$4:$W$4,0))))</f>
        <v>5279.7798944567276</v>
      </c>
      <c r="AA211">
        <f ca="1">IF($C211-AA$1&lt;År1,0,Z210*(1-VLOOKUP($A211,[1]Hugst!$R$5:$W$9,MATCH(ROUNDUP((AA$1)/10,0)*10,[1]Hugst!$R$4:$W$4,0))))</f>
        <v>5278.0699138069831</v>
      </c>
      <c r="AB211">
        <f ca="1">IF($C211-AB$1&lt;År1,0,AA210*(1-VLOOKUP($A211,[1]Hugst!$R$5:$W$9,MATCH(ROUNDUP((AB$1)/10,0)*10,[1]Hugst!$R$4:$W$4,0))))</f>
        <v>5276.3799854114459</v>
      </c>
      <c r="AC211">
        <f ca="1">IF($C211-AC$1&lt;År1,0,AB210*(1-VLOOKUP($A211,[1]Hugst!$R$5:$W$9,MATCH(ROUNDUP((AC$1)/10,0)*10,[1]Hugst!$R$4:$W$4,0))))</f>
        <v>5274.710153081247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55000000000000004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131.8698422506277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3441.4773510485315</v>
      </c>
      <c r="G212">
        <f ca="1">IF($C212-G$1&lt;År1,0,F211*(1-VLOOKUP($A212,[1]Hugst!$R$5:$W$9,MATCH(ROUNDUP((G$1)/10,0)*10,[1]Hugst!$R$4:$W$4,0))))</f>
        <v>3443.7586514382451</v>
      </c>
      <c r="H212">
        <f ca="1">IF($C212-H$1&lt;År1,0,G211*(1-VLOOKUP($A212,[1]Hugst!$R$5:$W$9,MATCH(ROUNDUP((H$1)/10,0)*10,[1]Hugst!$R$4:$W$4,0))))</f>
        <v>3446.0839394059653</v>
      </c>
      <c r="I212">
        <f ca="1">IF($C212-I$1&lt;År1,0,H211*(1-VLOOKUP($A212,[1]Hugst!$R$5:$W$9,MATCH(ROUNDUP((I$1)/10,0)*10,[1]Hugst!$R$4:$W$4,0))))</f>
        <v>3448.4534396371851</v>
      </c>
      <c r="J212">
        <f ca="1">IF($C212-J$1&lt;År1,0,I211*(1-VLOOKUP($A212,[1]Hugst!$R$5:$W$9,MATCH(ROUNDUP((J$1)/10,0)*10,[1]Hugst!$R$4:$W$4,0))))</f>
        <v>3450.8673778227417</v>
      </c>
      <c r="K212">
        <f ca="1">IF($C212-K$1&lt;År1,0,J211*(1-VLOOKUP($A212,[1]Hugst!$R$5:$W$9,MATCH(ROUNDUP((K$1)/10,0)*10,[1]Hugst!$R$4:$W$4,0))))</f>
        <v>3448.9310783282303</v>
      </c>
      <c r="L212">
        <f ca="1">IF($C212-L$1&lt;År1,0,K211*(1-VLOOKUP($A212,[1]Hugst!$R$5:$W$9,MATCH(ROUNDUP((L$1)/10,0)*10,[1]Hugst!$R$4:$W$4,0))))</f>
        <v>3441.8363491980886</v>
      </c>
      <c r="M212">
        <f ca="1">IF($C212-M$1&lt;År1,0,L211*(1-VLOOKUP($A212,[1]Hugst!$R$5:$W$9,MATCH(ROUNDUP((M$1)/10,0)*10,[1]Hugst!$R$4:$W$4,0))))</f>
        <v>3434.7283024027579</v>
      </c>
      <c r="N212">
        <f ca="1">IF($C212-N$1&lt;År1,0,M211*(1-VLOOKUP($A212,[1]Hugst!$R$5:$W$9,MATCH(ROUNDUP((N$1)/10,0)*10,[1]Hugst!$R$4:$W$4,0))))</f>
        <v>3427.6069201536952</v>
      </c>
      <c r="O212">
        <f ca="1">IF($C212-O$1&lt;År1,0,N211*(1-VLOOKUP($A212,[1]Hugst!$R$5:$W$9,MATCH(ROUNDUP((O$1)/10,0)*10,[1]Hugst!$R$4:$W$4,0))))</f>
        <v>3420.4721846808766</v>
      </c>
      <c r="P212">
        <f ca="1">IF($C212-P$1&lt;År1,0,O211*(1-VLOOKUP($A212,[1]Hugst!$R$5:$W$9,MATCH(ROUNDUP((P$1)/10,0)*10,[1]Hugst!$R$4:$W$4,0))))</f>
        <v>3405.8314156225215</v>
      </c>
      <c r="Q212">
        <f ca="1">IF($C212-Q$1&lt;År1,0,P211*(1-VLOOKUP($A212,[1]Hugst!$R$5:$W$9,MATCH(ROUNDUP((Q$1)/10,0)*10,[1]Hugst!$R$4:$W$4,0))))</f>
        <v>3391.2251113683401</v>
      </c>
      <c r="R212">
        <f ca="1">IF($C212-R$1&lt;År1,0,Q211*(1-VLOOKUP($A212,[1]Hugst!$R$5:$W$9,MATCH(ROUNDUP((R$1)/10,0)*10,[1]Hugst!$R$4:$W$4,0))))</f>
        <v>3376.6532028223291</v>
      </c>
      <c r="S212">
        <f ca="1">IF($C212-S$1&lt;År1,0,R211*(1-VLOOKUP($A212,[1]Hugst!$R$5:$W$9,MATCH(ROUNDUP((S$1)/10,0)*10,[1]Hugst!$R$4:$W$4,0))))</f>
        <v>3362.1156210585268</v>
      </c>
      <c r="T212">
        <f ca="1">IF($C212-T$1&lt;År1,0,S211*(1-VLOOKUP($A212,[1]Hugst!$R$5:$W$9,MATCH(ROUNDUP((T$1)/10,0)*10,[1]Hugst!$R$4:$W$4,0))))</f>
        <v>5323.5093457243438</v>
      </c>
      <c r="U212">
        <f ca="1">IF($C212-U$1&lt;År1,0,T211*(1-VLOOKUP($A212,[1]Hugst!$R$5:$W$9,MATCH(ROUNDUP((U$1)/10,0)*10,[1]Hugst!$R$4:$W$4,0))))</f>
        <v>5304.7028764422657</v>
      </c>
      <c r="V212">
        <f ca="1">IF($C212-V$1&lt;År1,0,U211*(1-VLOOKUP($A212,[1]Hugst!$R$5:$W$9,MATCH(ROUNDUP((V$1)/10,0)*10,[1]Hugst!$R$4:$W$4,0))))</f>
        <v>5297.688718088265</v>
      </c>
      <c r="W212">
        <f ca="1">IF($C212-W$1&lt;År1,0,V211*(1-VLOOKUP($A212,[1]Hugst!$R$5:$W$9,MATCH(ROUNDUP((W$1)/10,0)*10,[1]Hugst!$R$4:$W$4,0))))</f>
        <v>5290.7030093895255</v>
      </c>
      <c r="X212">
        <f ca="1">IF($C212-X$1&lt;År1,0,W211*(1-VLOOKUP($A212,[1]Hugst!$R$5:$W$9,MATCH(ROUNDUP((X$1)/10,0)*10,[1]Hugst!$R$4:$W$4,0))))</f>
        <v>5283.745724690918</v>
      </c>
      <c r="Y212">
        <f ca="1">IF($C212-Y$1&lt;År1,0,X211*(1-VLOOKUP($A212,[1]Hugst!$R$5:$W$9,MATCH(ROUNDUP((Y$1)/10,0)*10,[1]Hugst!$R$4:$W$4,0))))</f>
        <v>5276.8168384972878</v>
      </c>
      <c r="Z212">
        <f ca="1">IF($C212-Z$1&lt;År1,0,Y211*(1-VLOOKUP($A212,[1]Hugst!$R$5:$W$9,MATCH(ROUNDUP((Z$1)/10,0)*10,[1]Hugst!$R$4:$W$4,0))))</f>
        <v>5275.0690180429883</v>
      </c>
      <c r="AA212">
        <f ca="1">IF($C212-AA$1&lt;År1,0,Z211*(1-VLOOKUP($A212,[1]Hugst!$R$5:$W$9,MATCH(ROUNDUP((AA$1)/10,0)*10,[1]Hugst!$R$4:$W$4,0))))</f>
        <v>5273.3411384878782</v>
      </c>
      <c r="AB212">
        <f ca="1">IF($C212-AB$1&lt;År1,0,AA211*(1-VLOOKUP($A212,[1]Hugst!$R$5:$W$9,MATCH(ROUNDUP((AB$1)/10,0)*10,[1]Hugst!$R$4:$W$4,0))))</f>
        <v>5271.6332431803894</v>
      </c>
      <c r="AC212">
        <f ca="1">IF($C212-AC$1&lt;År1,0,AB211*(1-VLOOKUP($A212,[1]Hugst!$R$5:$W$9,MATCH(ROUNDUP((AC$1)/10,0)*10,[1]Hugst!$R$4:$W$4,0))))</f>
        <v>5269.9453756731391</v>
      </c>
      <c r="AD212">
        <f ca="1">IF($C212-AD$1&lt;År1,0,AC211*(1-VLOOKUP($A212,[1]Hugst!$R$5:$W$9,MATCH(ROUNDUP((AD$1)/10,0)*10,[1]Hugst!$R$4:$W$4,0))))</f>
        <v>5268.277579723831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55000000000000004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133.97200996510219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3439.2398145523471</v>
      </c>
      <c r="G213">
        <f ca="1">IF($C213-G$1&lt;År1,0,F212*(1-VLOOKUP($A213,[1]Hugst!$R$5:$W$9,MATCH(ROUNDUP((G$1)/10,0)*10,[1]Hugst!$R$4:$W$4,0))))</f>
        <v>3441.4773510485315</v>
      </c>
      <c r="H213">
        <f ca="1">IF($C213-H$1&lt;År1,0,G212*(1-VLOOKUP($A213,[1]Hugst!$R$5:$W$9,MATCH(ROUNDUP((H$1)/10,0)*10,[1]Hugst!$R$4:$W$4,0))))</f>
        <v>3443.7586514382451</v>
      </c>
      <c r="I213">
        <f ca="1">IF($C213-I$1&lt;År1,0,H212*(1-VLOOKUP($A213,[1]Hugst!$R$5:$W$9,MATCH(ROUNDUP((I$1)/10,0)*10,[1]Hugst!$R$4:$W$4,0))))</f>
        <v>3446.0839394059653</v>
      </c>
      <c r="J213">
        <f ca="1">IF($C213-J$1&lt;År1,0,I212*(1-VLOOKUP($A213,[1]Hugst!$R$5:$W$9,MATCH(ROUNDUP((J$1)/10,0)*10,[1]Hugst!$R$4:$W$4,0))))</f>
        <v>3448.4534396371851</v>
      </c>
      <c r="K213">
        <f ca="1">IF($C213-K$1&lt;År1,0,J212*(1-VLOOKUP($A213,[1]Hugst!$R$5:$W$9,MATCH(ROUNDUP((K$1)/10,0)*10,[1]Hugst!$R$4:$W$4,0))))</f>
        <v>3450.8673778227417</v>
      </c>
      <c r="L213">
        <f ca="1">IF($C213-L$1&lt;År1,0,K212*(1-VLOOKUP($A213,[1]Hugst!$R$5:$W$9,MATCH(ROUNDUP((L$1)/10,0)*10,[1]Hugst!$R$4:$W$4,0))))</f>
        <v>3448.9310783282303</v>
      </c>
      <c r="M213">
        <f ca="1">IF($C213-M$1&lt;År1,0,L212*(1-VLOOKUP($A213,[1]Hugst!$R$5:$W$9,MATCH(ROUNDUP((M$1)/10,0)*10,[1]Hugst!$R$4:$W$4,0))))</f>
        <v>3441.8363491980886</v>
      </c>
      <c r="N213">
        <f ca="1">IF($C213-N$1&lt;År1,0,M212*(1-VLOOKUP($A213,[1]Hugst!$R$5:$W$9,MATCH(ROUNDUP((N$1)/10,0)*10,[1]Hugst!$R$4:$W$4,0))))</f>
        <v>3434.7283024027579</v>
      </c>
      <c r="O213">
        <f ca="1">IF($C213-O$1&lt;År1,0,N212*(1-VLOOKUP($A213,[1]Hugst!$R$5:$W$9,MATCH(ROUNDUP((O$1)/10,0)*10,[1]Hugst!$R$4:$W$4,0))))</f>
        <v>3427.6069201536952</v>
      </c>
      <c r="P213">
        <f ca="1">IF($C213-P$1&lt;År1,0,O212*(1-VLOOKUP($A213,[1]Hugst!$R$5:$W$9,MATCH(ROUNDUP((P$1)/10,0)*10,[1]Hugst!$R$4:$W$4,0))))</f>
        <v>3412.9638311047479</v>
      </c>
      <c r="Q213">
        <f ca="1">IF($C213-Q$1&lt;År1,0,P212*(1-VLOOKUP($A213,[1]Hugst!$R$5:$W$9,MATCH(ROUNDUP((Q$1)/10,0)*10,[1]Hugst!$R$4:$W$4,0))))</f>
        <v>3398.3552003199356</v>
      </c>
      <c r="R213">
        <f ca="1">IF($C213-R$1&lt;År1,0,Q212*(1-VLOOKUP($A213,[1]Hugst!$R$5:$W$9,MATCH(ROUNDUP((R$1)/10,0)*10,[1]Hugst!$R$4:$W$4,0))))</f>
        <v>3383.7809586848484</v>
      </c>
      <c r="S213">
        <f ca="1">IF($C213-S$1&lt;År1,0,R212*(1-VLOOKUP($A213,[1]Hugst!$R$5:$W$9,MATCH(ROUNDUP((S$1)/10,0)*10,[1]Hugst!$R$4:$W$4,0))))</f>
        <v>3369.2410372551581</v>
      </c>
      <c r="T213">
        <f ca="1">IF($C213-T$1&lt;År1,0,S212*(1-VLOOKUP($A213,[1]Hugst!$R$5:$W$9,MATCH(ROUNDUP((T$1)/10,0)*10,[1]Hugst!$R$4:$W$4,0))))</f>
        <v>3354.7353672562031</v>
      </c>
      <c r="U213">
        <f ca="1">IF($C213-U$1&lt;År1,0,T212*(1-VLOOKUP($A213,[1]Hugst!$R$5:$W$9,MATCH(ROUNDUP((U$1)/10,0)*10,[1]Hugst!$R$4:$W$4,0))))</f>
        <v>5311.823593502022</v>
      </c>
      <c r="V213">
        <f ca="1">IF($C213-V$1&lt;År1,0,U212*(1-VLOOKUP($A213,[1]Hugst!$R$5:$W$9,MATCH(ROUNDUP((V$1)/10,0)*10,[1]Hugst!$R$4:$W$4,0))))</f>
        <v>5293.0584067134896</v>
      </c>
      <c r="W213">
        <f ca="1">IF($C213-W$1&lt;År1,0,V212*(1-VLOOKUP($A213,[1]Hugst!$R$5:$W$9,MATCH(ROUNDUP((W$1)/10,0)*10,[1]Hugst!$R$4:$W$4,0))))</f>
        <v>5286.059645292461</v>
      </c>
      <c r="X213">
        <f ca="1">IF($C213-X$1&lt;År1,0,W212*(1-VLOOKUP($A213,[1]Hugst!$R$5:$W$9,MATCH(ROUNDUP((X$1)/10,0)*10,[1]Hugst!$R$4:$W$4,0))))</f>
        <v>5279.0892710762319</v>
      </c>
      <c r="Y213">
        <f ca="1">IF($C213-Y$1&lt;År1,0,X212*(1-VLOOKUP($A213,[1]Hugst!$R$5:$W$9,MATCH(ROUNDUP((Y$1)/10,0)*10,[1]Hugst!$R$4:$W$4,0))))</f>
        <v>5272.1472584659869</v>
      </c>
      <c r="Z213">
        <f ca="1">IF($C213-Z$1&lt;År1,0,Y212*(1-VLOOKUP($A213,[1]Hugst!$R$5:$W$9,MATCH(ROUNDUP((Z$1)/10,0)*10,[1]Hugst!$R$4:$W$4,0))))</f>
        <v>5270.3816960113154</v>
      </c>
      <c r="AA213">
        <f ca="1">IF($C213-AA$1&lt;År1,0,Z212*(1-VLOOKUP($A213,[1]Hugst!$R$5:$W$9,MATCH(ROUNDUP((AA$1)/10,0)*10,[1]Hugst!$R$4:$W$4,0))))</f>
        <v>5268.6360070453748</v>
      </c>
      <c r="AB213">
        <f ca="1">IF($C213-AB$1&lt;År1,0,AA212*(1-VLOOKUP($A213,[1]Hugst!$R$5:$W$9,MATCH(ROUNDUP((AB$1)/10,0)*10,[1]Hugst!$R$4:$W$4,0))))</f>
        <v>5266.9102346604541</v>
      </c>
      <c r="AC213">
        <f ca="1">IF($C213-AC$1&lt;År1,0,AB212*(1-VLOOKUP($A213,[1]Hugst!$R$5:$W$9,MATCH(ROUNDUP((AC$1)/10,0)*10,[1]Hugst!$R$4:$W$4,0))))</f>
        <v>5265.204422152121</v>
      </c>
      <c r="AD213">
        <f ca="1">IF($C213-AD$1&lt;År1,0,AC212*(1-VLOOKUP($A213,[1]Hugst!$R$5:$W$9,MATCH(ROUNDUP((AD$1)/10,0)*10,[1]Hugst!$R$4:$W$4,0))))</f>
        <v>5263.518613019879</v>
      </c>
      <c r="AE213">
        <f ca="1">IF($C213-AE$1&lt;År1,0,AD212*(1-VLOOKUP($A213,[1]Hugst!$R$5:$W$9,MATCH(ROUNDUP((AE$1)/10,0)*10,[1]Hugst!$R$4:$W$4,0))))</f>
        <v>5261.85285096807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55000000000000004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136.09602036437718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3437.0458192620495</v>
      </c>
      <c r="G214">
        <f ca="1">IF($C214-G$1&lt;År1,0,F213*(1-VLOOKUP($A214,[1]Hugst!$R$5:$W$9,MATCH(ROUNDUP((G$1)/10,0)*10,[1]Hugst!$R$4:$W$4,0))))</f>
        <v>3439.2398145523471</v>
      </c>
      <c r="H214">
        <f ca="1">IF($C214-H$1&lt;År1,0,G213*(1-VLOOKUP($A214,[1]Hugst!$R$5:$W$9,MATCH(ROUNDUP((H$1)/10,0)*10,[1]Hugst!$R$4:$W$4,0))))</f>
        <v>3441.4773510485315</v>
      </c>
      <c r="I214">
        <f ca="1">IF($C214-I$1&lt;År1,0,H213*(1-VLOOKUP($A214,[1]Hugst!$R$5:$W$9,MATCH(ROUNDUP((I$1)/10,0)*10,[1]Hugst!$R$4:$W$4,0))))</f>
        <v>3443.7586514382451</v>
      </c>
      <c r="J214">
        <f ca="1">IF($C214-J$1&lt;År1,0,I213*(1-VLOOKUP($A214,[1]Hugst!$R$5:$W$9,MATCH(ROUNDUP((J$1)/10,0)*10,[1]Hugst!$R$4:$W$4,0))))</f>
        <v>3446.0839394059653</v>
      </c>
      <c r="K214">
        <f ca="1">IF($C214-K$1&lt;År1,0,J213*(1-VLOOKUP($A214,[1]Hugst!$R$5:$W$9,MATCH(ROUNDUP((K$1)/10,0)*10,[1]Hugst!$R$4:$W$4,0))))</f>
        <v>3448.4534396371851</v>
      </c>
      <c r="L214">
        <f ca="1">IF($C214-L$1&lt;År1,0,K213*(1-VLOOKUP($A214,[1]Hugst!$R$5:$W$9,MATCH(ROUNDUP((L$1)/10,0)*10,[1]Hugst!$R$4:$W$4,0))))</f>
        <v>3450.8673778227417</v>
      </c>
      <c r="M214">
        <f ca="1">IF($C214-M$1&lt;År1,0,L213*(1-VLOOKUP($A214,[1]Hugst!$R$5:$W$9,MATCH(ROUNDUP((M$1)/10,0)*10,[1]Hugst!$R$4:$W$4,0))))</f>
        <v>3448.9310783282303</v>
      </c>
      <c r="N214">
        <f ca="1">IF($C214-N$1&lt;År1,0,M213*(1-VLOOKUP($A214,[1]Hugst!$R$5:$W$9,MATCH(ROUNDUP((N$1)/10,0)*10,[1]Hugst!$R$4:$W$4,0))))</f>
        <v>3441.8363491980886</v>
      </c>
      <c r="O214">
        <f ca="1">IF($C214-O$1&lt;År1,0,N213*(1-VLOOKUP($A214,[1]Hugst!$R$5:$W$9,MATCH(ROUNDUP((O$1)/10,0)*10,[1]Hugst!$R$4:$W$4,0))))</f>
        <v>3434.7283024027579</v>
      </c>
      <c r="P214">
        <f ca="1">IF($C214-P$1&lt;År1,0,O213*(1-VLOOKUP($A214,[1]Hugst!$R$5:$W$9,MATCH(ROUNDUP((P$1)/10,0)*10,[1]Hugst!$R$4:$W$4,0))))</f>
        <v>3420.0829049631138</v>
      </c>
      <c r="Q214">
        <f ca="1">IF($C214-Q$1&lt;År1,0,P213*(1-VLOOKUP($A214,[1]Hugst!$R$5:$W$9,MATCH(ROUNDUP((Q$1)/10,0)*10,[1]Hugst!$R$4:$W$4,0))))</f>
        <v>3405.4719592803717</v>
      </c>
      <c r="R214">
        <f ca="1">IF($C214-R$1&lt;År1,0,Q213*(1-VLOOKUP($A214,[1]Hugst!$R$5:$W$9,MATCH(ROUNDUP((R$1)/10,0)*10,[1]Hugst!$R$4:$W$4,0))))</f>
        <v>3390.8953962216724</v>
      </c>
      <c r="S214">
        <f ca="1">IF($C214-S$1&lt;År1,0,R213*(1-VLOOKUP($A214,[1]Hugst!$R$5:$W$9,MATCH(ROUNDUP((S$1)/10,0)*10,[1]Hugst!$R$4:$W$4,0))))</f>
        <v>3376.3531468243209</v>
      </c>
      <c r="T214">
        <f ca="1">IF($C214-T$1&lt;År1,0,S213*(1-VLOOKUP($A214,[1]Hugst!$R$5:$W$9,MATCH(ROUNDUP((T$1)/10,0)*10,[1]Hugst!$R$4:$W$4,0))))</f>
        <v>3361.8451422953299</v>
      </c>
      <c r="U214">
        <f ca="1">IF($C214-U$1&lt;År1,0,T213*(1-VLOOKUP($A214,[1]Hugst!$R$5:$W$9,MATCH(ROUNDUP((U$1)/10,0)*10,[1]Hugst!$R$4:$W$4,0))))</f>
        <v>3347.3713140110067</v>
      </c>
      <c r="V214">
        <f ca="1">IF($C214-V$1&lt;År1,0,U213*(1-VLOOKUP($A214,[1]Hugst!$R$5:$W$9,MATCH(ROUNDUP((V$1)/10,0)*10,[1]Hugst!$R$4:$W$4,0))))</f>
        <v>5300.1634929309203</v>
      </c>
      <c r="W214">
        <f ca="1">IF($C214-W$1&lt;År1,0,V213*(1-VLOOKUP($A214,[1]Hugst!$R$5:$W$9,MATCH(ROUNDUP((W$1)/10,0)*10,[1]Hugst!$R$4:$W$4,0))))</f>
        <v>5281.4394980158258</v>
      </c>
      <c r="X214">
        <f ca="1">IF($C214-X$1&lt;År1,0,W213*(1-VLOOKUP($A214,[1]Hugst!$R$5:$W$9,MATCH(ROUNDUP((X$1)/10,0)*10,[1]Hugst!$R$4:$W$4,0))))</f>
        <v>5274.4560997296239</v>
      </c>
      <c r="Y214">
        <f ca="1">IF($C214-Y$1&lt;År1,0,X213*(1-VLOOKUP($A214,[1]Hugst!$R$5:$W$9,MATCH(ROUNDUP((Y$1)/10,0)*10,[1]Hugst!$R$4:$W$4,0))))</f>
        <v>5267.5010263348449</v>
      </c>
      <c r="Z214">
        <f ca="1">IF($C214-Z$1&lt;År1,0,Y213*(1-VLOOKUP($A214,[1]Hugst!$R$5:$W$9,MATCH(ROUNDUP((Z$1)/10,0)*10,[1]Hugst!$R$4:$W$4,0))))</f>
        <v>5265.7178105898092</v>
      </c>
      <c r="AA214">
        <f ca="1">IF($C214-AA$1&lt;År1,0,Z213*(1-VLOOKUP($A214,[1]Hugst!$R$5:$W$9,MATCH(ROUNDUP((AA$1)/10,0)*10,[1]Hugst!$R$4:$W$4,0))))</f>
        <v>5263.9544012600818</v>
      </c>
      <c r="AB214">
        <f ca="1">IF($C214-AB$1&lt;År1,0,AA213*(1-VLOOKUP($A214,[1]Hugst!$R$5:$W$9,MATCH(ROUNDUP((AB$1)/10,0)*10,[1]Hugst!$R$4:$W$4,0))))</f>
        <v>5262.2108411831241</v>
      </c>
      <c r="AC214">
        <f ca="1">IF($C214-AC$1&lt;År1,0,AB213*(1-VLOOKUP($A214,[1]Hugst!$R$5:$W$9,MATCH(ROUNDUP((AC$1)/10,0)*10,[1]Hugst!$R$4:$W$4,0))))</f>
        <v>5260.4871733986729</v>
      </c>
      <c r="AD214">
        <f ca="1">IF($C214-AD$1&lt;År1,0,AC213*(1-VLOOKUP($A214,[1]Hugst!$R$5:$W$9,MATCH(ROUNDUP((AD$1)/10,0)*10,[1]Hugst!$R$4:$W$4,0))))</f>
        <v>5258.7834411494969</v>
      </c>
      <c r="AE214">
        <f ca="1">IF($C214-AE$1&lt;År1,0,AD213*(1-VLOOKUP($A214,[1]Hugst!$R$5:$W$9,MATCH(ROUNDUP((AE$1)/10,0)*10,[1]Hugst!$R$4:$W$4,0))))</f>
        <v>5257.0996878820497</v>
      </c>
      <c r="AF214">
        <f ca="1">IF($C214-AF$1&lt;År1,0,AE213*(1-VLOOKUP($A214,[1]Hugst!$R$5:$W$9,MATCH(ROUNDUP((AF$1)/10,0)*10,[1]Hugst!$R$4:$W$4,0))))</f>
        <v>5255.4359572473768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55000000000000004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138.24176024523331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3434.895143481695</v>
      </c>
      <c r="G215">
        <f ca="1">IF($C215-G$1&lt;År1,0,F214*(1-VLOOKUP($A215,[1]Hugst!$R$5:$W$9,MATCH(ROUNDUP((G$1)/10,0)*10,[1]Hugst!$R$4:$W$4,0))))</f>
        <v>3437.0458192620495</v>
      </c>
      <c r="H215">
        <f ca="1">IF($C215-H$1&lt;År1,0,G214*(1-VLOOKUP($A215,[1]Hugst!$R$5:$W$9,MATCH(ROUNDUP((H$1)/10,0)*10,[1]Hugst!$R$4:$W$4,0))))</f>
        <v>3439.2398145523471</v>
      </c>
      <c r="I215">
        <f ca="1">IF($C215-I$1&lt;År1,0,H214*(1-VLOOKUP($A215,[1]Hugst!$R$5:$W$9,MATCH(ROUNDUP((I$1)/10,0)*10,[1]Hugst!$R$4:$W$4,0))))</f>
        <v>3441.4773510485315</v>
      </c>
      <c r="J215">
        <f ca="1">IF($C215-J$1&lt;År1,0,I214*(1-VLOOKUP($A215,[1]Hugst!$R$5:$W$9,MATCH(ROUNDUP((J$1)/10,0)*10,[1]Hugst!$R$4:$W$4,0))))</f>
        <v>3443.7586514382451</v>
      </c>
      <c r="K215">
        <f ca="1">IF($C215-K$1&lt;År1,0,J214*(1-VLOOKUP($A215,[1]Hugst!$R$5:$W$9,MATCH(ROUNDUP((K$1)/10,0)*10,[1]Hugst!$R$4:$W$4,0))))</f>
        <v>3446.0839394059653</v>
      </c>
      <c r="L215">
        <f ca="1">IF($C215-L$1&lt;År1,0,K214*(1-VLOOKUP($A215,[1]Hugst!$R$5:$W$9,MATCH(ROUNDUP((L$1)/10,0)*10,[1]Hugst!$R$4:$W$4,0))))</f>
        <v>3448.4534396371851</v>
      </c>
      <c r="M215">
        <f ca="1">IF($C215-M$1&lt;År1,0,L214*(1-VLOOKUP($A215,[1]Hugst!$R$5:$W$9,MATCH(ROUNDUP((M$1)/10,0)*10,[1]Hugst!$R$4:$W$4,0))))</f>
        <v>3450.8673778227417</v>
      </c>
      <c r="N215">
        <f ca="1">IF($C215-N$1&lt;År1,0,M214*(1-VLOOKUP($A215,[1]Hugst!$R$5:$W$9,MATCH(ROUNDUP((N$1)/10,0)*10,[1]Hugst!$R$4:$W$4,0))))</f>
        <v>3448.9310783282303</v>
      </c>
      <c r="O215">
        <f ca="1">IF($C215-O$1&lt;År1,0,N214*(1-VLOOKUP($A215,[1]Hugst!$R$5:$W$9,MATCH(ROUNDUP((O$1)/10,0)*10,[1]Hugst!$R$4:$W$4,0))))</f>
        <v>3441.8363491980886</v>
      </c>
      <c r="P215">
        <f ca="1">IF($C215-P$1&lt;År1,0,O214*(1-VLOOKUP($A215,[1]Hugst!$R$5:$W$9,MATCH(ROUNDUP((P$1)/10,0)*10,[1]Hugst!$R$4:$W$4,0))))</f>
        <v>3427.1886549096785</v>
      </c>
      <c r="Q215">
        <f ca="1">IF($C215-Q$1&lt;År1,0,P214*(1-VLOOKUP($A215,[1]Hugst!$R$5:$W$9,MATCH(ROUNDUP((Q$1)/10,0)*10,[1]Hugst!$R$4:$W$4,0))))</f>
        <v>3412.5754059034389</v>
      </c>
      <c r="R215">
        <f ca="1">IF($C215-R$1&lt;År1,0,Q214*(1-VLOOKUP($A215,[1]Hugst!$R$5:$W$9,MATCH(ROUNDUP((R$1)/10,0)*10,[1]Hugst!$R$4:$W$4,0))))</f>
        <v>3397.996533028293</v>
      </c>
      <c r="S215">
        <f ca="1">IF($C215-S$1&lt;År1,0,R214*(1-VLOOKUP($A215,[1]Hugst!$R$5:$W$9,MATCH(ROUNDUP((S$1)/10,0)*10,[1]Hugst!$R$4:$W$4,0))))</f>
        <v>3383.4519673031368</v>
      </c>
      <c r="T215">
        <f ca="1">IF($C215-T$1&lt;År1,0,S214*(1-VLOOKUP($A215,[1]Hugst!$R$5:$W$9,MATCH(ROUNDUP((T$1)/10,0)*10,[1]Hugst!$R$4:$W$4,0))))</f>
        <v>3368.9416399166576</v>
      </c>
      <c r="U215">
        <f ca="1">IF($C215-U$1&lt;År1,0,T214*(1-VLOOKUP($A215,[1]Hugst!$R$5:$W$9,MATCH(ROUNDUP((U$1)/10,0)*10,[1]Hugst!$R$4:$W$4,0))))</f>
        <v>3354.4654822268767</v>
      </c>
      <c r="V215">
        <f ca="1">IF($C215-V$1&lt;År1,0,U214*(1-VLOOKUP($A215,[1]Hugst!$R$5:$W$9,MATCH(ROUNDUP((V$1)/10,0)*10,[1]Hugst!$R$4:$W$4,0))))</f>
        <v>3340.0234257607385</v>
      </c>
      <c r="W215">
        <f ca="1">IF($C215-W$1&lt;År1,0,V214*(1-VLOOKUP($A215,[1]Hugst!$R$5:$W$9,MATCH(ROUNDUP((W$1)/10,0)*10,[1]Hugst!$R$4:$W$4,0))))</f>
        <v>5288.5289877025352</v>
      </c>
      <c r="X215">
        <f ca="1">IF($C215-X$1&lt;År1,0,W214*(1-VLOOKUP($A215,[1]Hugst!$R$5:$W$9,MATCH(ROUNDUP((X$1)/10,0)*10,[1]Hugst!$R$4:$W$4,0))))</f>
        <v>5269.8460942396932</v>
      </c>
      <c r="Y215">
        <f ca="1">IF($C215-Y$1&lt;År1,0,X214*(1-VLOOKUP($A215,[1]Hugst!$R$5:$W$9,MATCH(ROUNDUP((Y$1)/10,0)*10,[1]Hugst!$R$4:$W$4,0))))</f>
        <v>5262.8780253643636</v>
      </c>
      <c r="Z215">
        <f ca="1">IF($C215-Z$1&lt;År1,0,Y214*(1-VLOOKUP($A215,[1]Hugst!$R$5:$W$9,MATCH(ROUNDUP((Z$1)/10,0)*10,[1]Hugst!$R$4:$W$4,0))))</f>
        <v>5261.0772445954126</v>
      </c>
      <c r="AA215">
        <f ca="1">IF($C215-AA$1&lt;År1,0,Z214*(1-VLOOKUP($A215,[1]Hugst!$R$5:$W$9,MATCH(ROUNDUP((AA$1)/10,0)*10,[1]Hugst!$R$4:$W$4,0))))</f>
        <v>5259.2962035037244</v>
      </c>
      <c r="AB215">
        <f ca="1">IF($C215-AB$1&lt;År1,0,AA214*(1-VLOOKUP($A215,[1]Hugst!$R$5:$W$9,MATCH(ROUNDUP((AB$1)/10,0)*10,[1]Hugst!$R$4:$W$4,0))))</f>
        <v>5257.5349446731789</v>
      </c>
      <c r="AC215">
        <f ca="1">IF($C215-AC$1&lt;År1,0,AB214*(1-VLOOKUP($A215,[1]Hugst!$R$5:$W$9,MATCH(ROUNDUP((AC$1)/10,0)*10,[1]Hugst!$R$4:$W$4,0))))</f>
        <v>5255.7935108889988</v>
      </c>
      <c r="AD215">
        <f ca="1">IF($C215-AD$1&lt;År1,0,AC214*(1-VLOOKUP($A215,[1]Hugst!$R$5:$W$9,MATCH(ROUNDUP((AD$1)/10,0)*10,[1]Hugst!$R$4:$W$4,0))))</f>
        <v>5254.0719451384302</v>
      </c>
      <c r="AE215">
        <f ca="1">IF($C215-AE$1&lt;År1,0,AD214*(1-VLOOKUP($A215,[1]Hugst!$R$5:$W$9,MATCH(ROUNDUP((AE$1)/10,0)*10,[1]Hugst!$R$4:$W$4,0))))</f>
        <v>5252.3702906115095</v>
      </c>
      <c r="AF215">
        <f ca="1">IF($C215-AF$1&lt;År1,0,AE214*(1-VLOOKUP($A215,[1]Hugst!$R$5:$W$9,MATCH(ROUNDUP((AF$1)/10,0)*10,[1]Hugst!$R$4:$W$4,0))))</f>
        <v>5250.6885907017058</v>
      </c>
      <c r="AG215">
        <f ca="1">IF($C215-AG$1&lt;År1,0,AF214*(1-VLOOKUP($A215,[1]Hugst!$R$5:$W$9,MATCH(ROUNDUP((AG$1)/10,0)*10,[1]Hugst!$R$4:$W$4,0))))</f>
        <v>5249.026889006831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55000000000000004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140.40911684978346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3432.7875665034221</v>
      </c>
      <c r="G216">
        <f ca="1">IF($C216-G$1&lt;År1,0,F215*(1-VLOOKUP($A216,[1]Hugst!$R$5:$W$9,MATCH(ROUNDUP((G$1)/10,0)*10,[1]Hugst!$R$4:$W$4,0))))</f>
        <v>3434.895143481695</v>
      </c>
      <c r="H216">
        <f ca="1">IF($C216-H$1&lt;År1,0,G215*(1-VLOOKUP($A216,[1]Hugst!$R$5:$W$9,MATCH(ROUNDUP((H$1)/10,0)*10,[1]Hugst!$R$4:$W$4,0))))</f>
        <v>3437.0458192620495</v>
      </c>
      <c r="I216">
        <f ca="1">IF($C216-I$1&lt;År1,0,H215*(1-VLOOKUP($A216,[1]Hugst!$R$5:$W$9,MATCH(ROUNDUP((I$1)/10,0)*10,[1]Hugst!$R$4:$W$4,0))))</f>
        <v>3439.2398145523471</v>
      </c>
      <c r="J216">
        <f ca="1">IF($C216-J$1&lt;År1,0,I215*(1-VLOOKUP($A216,[1]Hugst!$R$5:$W$9,MATCH(ROUNDUP((J$1)/10,0)*10,[1]Hugst!$R$4:$W$4,0))))</f>
        <v>3441.4773510485315</v>
      </c>
      <c r="K216">
        <f ca="1">IF($C216-K$1&lt;År1,0,J215*(1-VLOOKUP($A216,[1]Hugst!$R$5:$W$9,MATCH(ROUNDUP((K$1)/10,0)*10,[1]Hugst!$R$4:$W$4,0))))</f>
        <v>3443.7586514382451</v>
      </c>
      <c r="L216">
        <f ca="1">IF($C216-L$1&lt;År1,0,K215*(1-VLOOKUP($A216,[1]Hugst!$R$5:$W$9,MATCH(ROUNDUP((L$1)/10,0)*10,[1]Hugst!$R$4:$W$4,0))))</f>
        <v>3446.0839394059653</v>
      </c>
      <c r="M216">
        <f ca="1">IF($C216-M$1&lt;År1,0,L215*(1-VLOOKUP($A216,[1]Hugst!$R$5:$W$9,MATCH(ROUNDUP((M$1)/10,0)*10,[1]Hugst!$R$4:$W$4,0))))</f>
        <v>3448.4534396371851</v>
      </c>
      <c r="N216">
        <f ca="1">IF($C216-N$1&lt;År1,0,M215*(1-VLOOKUP($A216,[1]Hugst!$R$5:$W$9,MATCH(ROUNDUP((N$1)/10,0)*10,[1]Hugst!$R$4:$W$4,0))))</f>
        <v>3450.8673778227417</v>
      </c>
      <c r="O216">
        <f ca="1">IF($C216-O$1&lt;År1,0,N215*(1-VLOOKUP($A216,[1]Hugst!$R$5:$W$9,MATCH(ROUNDUP((O$1)/10,0)*10,[1]Hugst!$R$4:$W$4,0))))</f>
        <v>3448.9310783282303</v>
      </c>
      <c r="P216">
        <f ca="1">IF($C216-P$1&lt;År1,0,O215*(1-VLOOKUP($A216,[1]Hugst!$R$5:$W$9,MATCH(ROUNDUP((P$1)/10,0)*10,[1]Hugst!$R$4:$W$4,0))))</f>
        <v>3434.2810986754585</v>
      </c>
      <c r="Q216">
        <f ca="1">IF($C216-Q$1&lt;År1,0,P215*(1-VLOOKUP($A216,[1]Hugst!$R$5:$W$9,MATCH(ROUNDUP((Q$1)/10,0)*10,[1]Hugst!$R$4:$W$4,0))))</f>
        <v>3419.6655578623158</v>
      </c>
      <c r="R216">
        <f ca="1">IF($C216-R$1&lt;År1,0,Q215*(1-VLOOKUP($A216,[1]Hugst!$R$5:$W$9,MATCH(ROUNDUP((R$1)/10,0)*10,[1]Hugst!$R$4:$W$4,0))))</f>
        <v>3405.0843867197482</v>
      </c>
      <c r="S216">
        <f ca="1">IF($C216-S$1&lt;År1,0,R215*(1-VLOOKUP($A216,[1]Hugst!$R$5:$W$9,MATCH(ROUNDUP((S$1)/10,0)*10,[1]Hugst!$R$4:$W$4,0))))</f>
        <v>3390.5375162484747</v>
      </c>
      <c r="T216">
        <f ca="1">IF($C216-T$1&lt;År1,0,S215*(1-VLOOKUP($A216,[1]Hugst!$R$5:$W$9,MATCH(ROUNDUP((T$1)/10,0)*10,[1]Hugst!$R$4:$W$4,0))))</f>
        <v>3376.0248776188128</v>
      </c>
      <c r="U216">
        <f ca="1">IF($C216-U$1&lt;År1,0,T215*(1-VLOOKUP($A216,[1]Hugst!$R$5:$W$9,MATCH(ROUNDUP((U$1)/10,0)*10,[1]Hugst!$R$4:$W$4,0))))</f>
        <v>3361.5464021704988</v>
      </c>
      <c r="V216">
        <f ca="1">IF($C216-V$1&lt;År1,0,U215*(1-VLOOKUP($A216,[1]Hugst!$R$5:$W$9,MATCH(ROUNDUP((V$1)/10,0)*10,[1]Hugst!$R$4:$W$4,0))))</f>
        <v>3347.1020214122323</v>
      </c>
      <c r="W216">
        <f ca="1">IF($C216-W$1&lt;År1,0,V215*(1-VLOOKUP($A216,[1]Hugst!$R$5:$W$9,MATCH(ROUNDUP((W$1)/10,0)*10,[1]Hugst!$R$4:$W$4,0))))</f>
        <v>3332.6916670212636</v>
      </c>
      <c r="X216">
        <f ca="1">IF($C216-X$1&lt;År1,0,W215*(1-VLOOKUP($A216,[1]Hugst!$R$5:$W$9,MATCH(ROUNDUP((X$1)/10,0)*10,[1]Hugst!$R$4:$W$4,0))))</f>
        <v>5276.9200216319687</v>
      </c>
      <c r="Y216">
        <f ca="1">IF($C216-Y$1&lt;År1,0,X215*(1-VLOOKUP($A216,[1]Hugst!$R$5:$W$9,MATCH(ROUNDUP((Y$1)/10,0)*10,[1]Hugst!$R$4:$W$4,0))))</f>
        <v>5258.2781393986788</v>
      </c>
      <c r="Z216">
        <f ca="1">IF($C216-Z$1&lt;År1,0,Y215*(1-VLOOKUP($A216,[1]Hugst!$R$5:$W$9,MATCH(ROUNDUP((Z$1)/10,0)*10,[1]Hugst!$R$4:$W$4,0))))</f>
        <v>5256.459881430992</v>
      </c>
      <c r="AA216">
        <f ca="1">IF($C216-AA$1&lt;År1,0,Z215*(1-VLOOKUP($A216,[1]Hugst!$R$5:$W$9,MATCH(ROUNDUP((AA$1)/10,0)*10,[1]Hugst!$R$4:$W$4,0))))</f>
        <v>5254.6612967361498</v>
      </c>
      <c r="AB216">
        <f ca="1">IF($C216-AB$1&lt;År1,0,AA215*(1-VLOOKUP($A216,[1]Hugst!$R$5:$W$9,MATCH(ROUNDUP((AB$1)/10,0)*10,[1]Hugst!$R$4:$W$4,0))))</f>
        <v>5252.8824276457926</v>
      </c>
      <c r="AC216">
        <f ca="1">IF($C216-AC$1&lt;År1,0,AB215*(1-VLOOKUP($A216,[1]Hugst!$R$5:$W$9,MATCH(ROUNDUP((AC$1)/10,0)*10,[1]Hugst!$R$4:$W$4,0))))</f>
        <v>5251.1233166918701</v>
      </c>
      <c r="AD216">
        <f ca="1">IF($C216-AD$1&lt;År1,0,AC215*(1-VLOOKUP($A216,[1]Hugst!$R$5:$W$9,MATCH(ROUNDUP((AD$1)/10,0)*10,[1]Hugst!$R$4:$W$4,0))))</f>
        <v>5249.3840066074272</v>
      </c>
      <c r="AE216">
        <f ca="1">IF($C216-AE$1&lt;År1,0,AD215*(1-VLOOKUP($A216,[1]Hugst!$R$5:$W$9,MATCH(ROUNDUP((AE$1)/10,0)*10,[1]Hugst!$R$4:$W$4,0))))</f>
        <v>5247.664540327286</v>
      </c>
      <c r="AF216">
        <f ca="1">IF($C216-AF$1&lt;År1,0,AE215*(1-VLOOKUP($A216,[1]Hugst!$R$5:$W$9,MATCH(ROUNDUP((AF$1)/10,0)*10,[1]Hugst!$R$4:$W$4,0))))</f>
        <v>5245.9649609888129</v>
      </c>
      <c r="AG216">
        <f ca="1">IF($C216-AG$1&lt;År1,0,AF215*(1-VLOOKUP($A216,[1]Hugst!$R$5:$W$9,MATCH(ROUNDUP((AG$1)/10,0)*10,[1]Hugst!$R$4:$W$4,0))))</f>
        <v>5244.2853119325573</v>
      </c>
      <c r="AH216">
        <f ca="1">IF($C216-AH$1&lt;År1,0,AG215*(1-VLOOKUP($A216,[1]Hugst!$R$5:$W$9,MATCH(ROUNDUP((AH$1)/10,0)*10,[1]Hugst!$R$4:$W$4,0))))</f>
        <v>5242.6256367031638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55000000000000004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142.59797786378476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3430.7228686024932</v>
      </c>
      <c r="G217">
        <f ca="1">IF($C217-G$1&lt;År1,0,F216*(1-VLOOKUP($A217,[1]Hugst!$R$5:$W$9,MATCH(ROUNDUP((G$1)/10,0)*10,[1]Hugst!$R$4:$W$4,0))))</f>
        <v>3432.7875665034221</v>
      </c>
      <c r="H217">
        <f ca="1">IF($C217-H$1&lt;År1,0,G216*(1-VLOOKUP($A217,[1]Hugst!$R$5:$W$9,MATCH(ROUNDUP((H$1)/10,0)*10,[1]Hugst!$R$4:$W$4,0))))</f>
        <v>3434.895143481695</v>
      </c>
      <c r="I217">
        <f ca="1">IF($C217-I$1&lt;År1,0,H216*(1-VLOOKUP($A217,[1]Hugst!$R$5:$W$9,MATCH(ROUNDUP((I$1)/10,0)*10,[1]Hugst!$R$4:$W$4,0))))</f>
        <v>3437.0458192620495</v>
      </c>
      <c r="J217">
        <f ca="1">IF($C217-J$1&lt;År1,0,I216*(1-VLOOKUP($A217,[1]Hugst!$R$5:$W$9,MATCH(ROUNDUP((J$1)/10,0)*10,[1]Hugst!$R$4:$W$4,0))))</f>
        <v>3439.2398145523471</v>
      </c>
      <c r="K217">
        <f ca="1">IF($C217-K$1&lt;År1,0,J216*(1-VLOOKUP($A217,[1]Hugst!$R$5:$W$9,MATCH(ROUNDUP((K$1)/10,0)*10,[1]Hugst!$R$4:$W$4,0))))</f>
        <v>3441.4773510485315</v>
      </c>
      <c r="L217">
        <f ca="1">IF($C217-L$1&lt;År1,0,K216*(1-VLOOKUP($A217,[1]Hugst!$R$5:$W$9,MATCH(ROUNDUP((L$1)/10,0)*10,[1]Hugst!$R$4:$W$4,0))))</f>
        <v>3443.7586514382451</v>
      </c>
      <c r="M217">
        <f ca="1">IF($C217-M$1&lt;År1,0,L216*(1-VLOOKUP($A217,[1]Hugst!$R$5:$W$9,MATCH(ROUNDUP((M$1)/10,0)*10,[1]Hugst!$R$4:$W$4,0))))</f>
        <v>3446.0839394059653</v>
      </c>
      <c r="N217">
        <f ca="1">IF($C217-N$1&lt;År1,0,M216*(1-VLOOKUP($A217,[1]Hugst!$R$5:$W$9,MATCH(ROUNDUP((N$1)/10,0)*10,[1]Hugst!$R$4:$W$4,0))))</f>
        <v>3448.4534396371851</v>
      </c>
      <c r="O217">
        <f ca="1">IF($C217-O$1&lt;År1,0,N216*(1-VLOOKUP($A217,[1]Hugst!$R$5:$W$9,MATCH(ROUNDUP((O$1)/10,0)*10,[1]Hugst!$R$4:$W$4,0))))</f>
        <v>3450.8673778227417</v>
      </c>
      <c r="P217">
        <f ca="1">IF($C217-P$1&lt;År1,0,O216*(1-VLOOKUP($A217,[1]Hugst!$R$5:$W$9,MATCH(ROUNDUP((P$1)/10,0)*10,[1]Hugst!$R$4:$W$4,0))))</f>
        <v>3441.3602540099487</v>
      </c>
      <c r="Q217">
        <f ca="1">IF($C217-Q$1&lt;År1,0,P216*(1-VLOOKUP($A217,[1]Hugst!$R$5:$W$9,MATCH(ROUNDUP((Q$1)/10,0)*10,[1]Hugst!$R$4:$W$4,0))))</f>
        <v>3426.7424328490979</v>
      </c>
      <c r="R217">
        <f ca="1">IF($C217-R$1&lt;År1,0,Q216*(1-VLOOKUP($A217,[1]Hugst!$R$5:$W$9,MATCH(ROUNDUP((R$1)/10,0)*10,[1]Hugst!$R$4:$W$4,0))))</f>
        <v>3412.158974930423</v>
      </c>
      <c r="S217">
        <f ca="1">IF($C217-S$1&lt;År1,0,R216*(1-VLOOKUP($A217,[1]Hugst!$R$5:$W$9,MATCH(ROUNDUP((S$1)/10,0)*10,[1]Hugst!$R$4:$W$4,0))))</f>
        <v>3397.6098112367049</v>
      </c>
      <c r="T217">
        <f ca="1">IF($C217-T$1&lt;År1,0,S216*(1-VLOOKUP($A217,[1]Hugst!$R$5:$W$9,MATCH(ROUNDUP((T$1)/10,0)*10,[1]Hugst!$R$4:$W$4,0))))</f>
        <v>3383.0948729201245</v>
      </c>
      <c r="U217">
        <f ca="1">IF($C217-U$1&lt;År1,0,T216*(1-VLOOKUP($A217,[1]Hugst!$R$5:$W$9,MATCH(ROUNDUP((U$1)/10,0)*10,[1]Hugst!$R$4:$W$4,0))))</f>
        <v>3368.6140913020886</v>
      </c>
      <c r="V217">
        <f ca="1">IF($C217-V$1&lt;År1,0,U216*(1-VLOOKUP($A217,[1]Hugst!$R$5:$W$9,MATCH(ROUNDUP((V$1)/10,0)*10,[1]Hugst!$R$4:$W$4,0))))</f>
        <v>3354.1673978730514</v>
      </c>
      <c r="W217">
        <f ca="1">IF($C217-W$1&lt;År1,0,V216*(1-VLOOKUP($A217,[1]Hugst!$R$5:$W$9,MATCH(ROUNDUP((W$1)/10,0)*10,[1]Hugst!$R$4:$W$4,0))))</f>
        <v>3339.7547242920591</v>
      </c>
      <c r="X217">
        <f ca="1">IF($C217-X$1&lt;År1,0,W216*(1-VLOOKUP($A217,[1]Hugst!$R$5:$W$9,MATCH(ROUNDUP((X$1)/10,0)*10,[1]Hugst!$R$4:$W$4,0))))</f>
        <v>3325.3760023863388</v>
      </c>
      <c r="Y217">
        <f ca="1">IF($C217-Y$1&lt;År1,0,X216*(1-VLOOKUP($A217,[1]Hugst!$R$5:$W$9,MATCH(ROUNDUP((Y$1)/10,0)*10,[1]Hugst!$R$4:$W$4,0))))</f>
        <v>5265.3365386576543</v>
      </c>
      <c r="Z217">
        <f ca="1">IF($C217-Z$1&lt;År1,0,Y216*(1-VLOOKUP($A217,[1]Hugst!$R$5:$W$9,MATCH(ROUNDUP((Z$1)/10,0)*10,[1]Hugst!$R$4:$W$4,0))))</f>
        <v>5251.8656050823392</v>
      </c>
      <c r="AA217">
        <f ca="1">IF($C217-AA$1&lt;År1,0,Z216*(1-VLOOKUP($A217,[1]Hugst!$R$5:$W$9,MATCH(ROUNDUP((AA$1)/10,0)*10,[1]Hugst!$R$4:$W$4,0))))</f>
        <v>5250.0495645024175</v>
      </c>
      <c r="AB217">
        <f ca="1">IF($C217-AB$1&lt;År1,0,AA216*(1-VLOOKUP($A217,[1]Hugst!$R$5:$W$9,MATCH(ROUNDUP((AB$1)/10,0)*10,[1]Hugst!$R$4:$W$4,0))))</f>
        <v>5248.253173203545</v>
      </c>
      <c r="AC217">
        <f ca="1">IF($C217-AC$1&lt;År1,0,AB216*(1-VLOOKUP($A217,[1]Hugst!$R$5:$W$9,MATCH(ROUNDUP((AC$1)/10,0)*10,[1]Hugst!$R$4:$W$4,0))))</f>
        <v>5246.4764734657365</v>
      </c>
      <c r="AD217">
        <f ca="1">IF($C217-AD$1&lt;År1,0,AC216*(1-VLOOKUP($A217,[1]Hugst!$R$5:$W$9,MATCH(ROUNDUP((AD$1)/10,0)*10,[1]Hugst!$R$4:$W$4,0))))</f>
        <v>5244.7195077690749</v>
      </c>
      <c r="AE217">
        <f ca="1">IF($C217-AE$1&lt;År1,0,AD216*(1-VLOOKUP($A217,[1]Hugst!$R$5:$W$9,MATCH(ROUNDUP((AE$1)/10,0)*10,[1]Hugst!$R$4:$W$4,0))))</f>
        <v>5242.9823187944912</v>
      </c>
      <c r="AF217">
        <f ca="1">IF($C217-AF$1&lt;År1,0,AE216*(1-VLOOKUP($A217,[1]Hugst!$R$5:$W$9,MATCH(ROUNDUP((AF$1)/10,0)*10,[1]Hugst!$R$4:$W$4,0))))</f>
        <v>5241.2649494244479</v>
      </c>
      <c r="AG217">
        <f ca="1">IF($C217-AG$1&lt;År1,0,AF216*(1-VLOOKUP($A217,[1]Hugst!$R$5:$W$9,MATCH(ROUNDUP((AG$1)/10,0)*10,[1]Hugst!$R$4:$W$4,0))))</f>
        <v>5239.5674427437043</v>
      </c>
      <c r="AH217">
        <f ca="1">IF($C217-AH$1&lt;År1,0,AG216*(1-VLOOKUP($A217,[1]Hugst!$R$5:$W$9,MATCH(ROUNDUP((AH$1)/10,0)*10,[1]Hugst!$R$4:$W$4,0))))</f>
        <v>5237.8898420399564</v>
      </c>
      <c r="AI217">
        <f ca="1">IF($C217-AI$1&lt;År1,0,AH216*(1-VLOOKUP($A217,[1]Hugst!$R$5:$W$9,MATCH(ROUNDUP((AI$1)/10,0)*10,[1]Hugst!$R$4:$W$4,0))))</f>
        <v>5236.2321908047452</v>
      </c>
      <c r="AJ217">
        <f>IF($C217-AJ$1&lt;År1,0,AI216*(1-VLOOKUP($A217,[1]Hugst!$R$5:$W$9,MATCH(ROUNDUP((AJ$1)/10,0)*10,[1]Hugst!$R$4:$W$4,0))))</f>
        <v>0</v>
      </c>
    </row>
    <row r="218" spans="1:36" x14ac:dyDescent="0.55000000000000004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141.91204367308819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3425.8046432914484</v>
      </c>
      <c r="G218">
        <f ca="1">IF($C218-G$1&lt;År1,0,F217*(1-VLOOKUP($A218,[1]Hugst!$R$5:$W$9,MATCH(ROUNDUP((G$1)/10,0)*10,[1]Hugst!$R$4:$W$4,0))))</f>
        <v>3430.7228686024932</v>
      </c>
      <c r="H218">
        <f ca="1">IF($C218-H$1&lt;År1,0,G217*(1-VLOOKUP($A218,[1]Hugst!$R$5:$W$9,MATCH(ROUNDUP((H$1)/10,0)*10,[1]Hugst!$R$4:$W$4,0))))</f>
        <v>3432.7875665034221</v>
      </c>
      <c r="I218">
        <f ca="1">IF($C218-I$1&lt;År1,0,H217*(1-VLOOKUP($A218,[1]Hugst!$R$5:$W$9,MATCH(ROUNDUP((I$1)/10,0)*10,[1]Hugst!$R$4:$W$4,0))))</f>
        <v>3434.895143481695</v>
      </c>
      <c r="J218">
        <f ca="1">IF($C218-J$1&lt;År1,0,I217*(1-VLOOKUP($A218,[1]Hugst!$R$5:$W$9,MATCH(ROUNDUP((J$1)/10,0)*10,[1]Hugst!$R$4:$W$4,0))))</f>
        <v>3437.0458192620495</v>
      </c>
      <c r="K218">
        <f ca="1">IF($C218-K$1&lt;År1,0,J217*(1-VLOOKUP($A218,[1]Hugst!$R$5:$W$9,MATCH(ROUNDUP((K$1)/10,0)*10,[1]Hugst!$R$4:$W$4,0))))</f>
        <v>3439.2398145523471</v>
      </c>
      <c r="L218">
        <f ca="1">IF($C218-L$1&lt;År1,0,K217*(1-VLOOKUP($A218,[1]Hugst!$R$5:$W$9,MATCH(ROUNDUP((L$1)/10,0)*10,[1]Hugst!$R$4:$W$4,0))))</f>
        <v>3441.4773510485315</v>
      </c>
      <c r="M218">
        <f ca="1">IF($C218-M$1&lt;År1,0,L217*(1-VLOOKUP($A218,[1]Hugst!$R$5:$W$9,MATCH(ROUNDUP((M$1)/10,0)*10,[1]Hugst!$R$4:$W$4,0))))</f>
        <v>3443.7586514382451</v>
      </c>
      <c r="N218">
        <f ca="1">IF($C218-N$1&lt;År1,0,M217*(1-VLOOKUP($A218,[1]Hugst!$R$5:$W$9,MATCH(ROUNDUP((N$1)/10,0)*10,[1]Hugst!$R$4:$W$4,0))))</f>
        <v>3446.0839394059653</v>
      </c>
      <c r="O218">
        <f ca="1">IF($C218-O$1&lt;År1,0,N217*(1-VLOOKUP($A218,[1]Hugst!$R$5:$W$9,MATCH(ROUNDUP((O$1)/10,0)*10,[1]Hugst!$R$4:$W$4,0))))</f>
        <v>3448.4534396371851</v>
      </c>
      <c r="P218">
        <f ca="1">IF($C218-P$1&lt;År1,0,O217*(1-VLOOKUP($A218,[1]Hugst!$R$5:$W$9,MATCH(ROUNDUP((P$1)/10,0)*10,[1]Hugst!$R$4:$W$4,0))))</f>
        <v>3443.2923030909355</v>
      </c>
      <c r="Q218">
        <f ca="1">IF($C218-Q$1&lt;År1,0,P217*(1-VLOOKUP($A218,[1]Hugst!$R$5:$W$9,MATCH(ROUNDUP((Q$1)/10,0)*10,[1]Hugst!$R$4:$W$4,0))))</f>
        <v>3433.8060485743172</v>
      </c>
      <c r="R218">
        <f ca="1">IF($C218-R$1&lt;År1,0,Q217*(1-VLOOKUP($A218,[1]Hugst!$R$5:$W$9,MATCH(ROUNDUP((R$1)/10,0)*10,[1]Hugst!$R$4:$W$4,0))))</f>
        <v>3419.2203153135756</v>
      </c>
      <c r="S218">
        <f ca="1">IF($C218-S$1&lt;År1,0,R217*(1-VLOOKUP($A218,[1]Hugst!$R$5:$W$9,MATCH(ROUNDUP((S$1)/10,0)*10,[1]Hugst!$R$4:$W$4,0))))</f>
        <v>3404.6688698635026</v>
      </c>
      <c r="T218">
        <f ca="1">IF($C218-T$1&lt;År1,0,S217*(1-VLOOKUP($A218,[1]Hugst!$R$5:$W$9,MATCH(ROUNDUP((T$1)/10,0)*10,[1]Hugst!$R$4:$W$4,0))))</f>
        <v>3390.1516433583806</v>
      </c>
      <c r="U218">
        <f ca="1">IF($C218-U$1&lt;År1,0,T217*(1-VLOOKUP($A218,[1]Hugst!$R$5:$W$9,MATCH(ROUNDUP((U$1)/10,0)*10,[1]Hugst!$R$4:$W$4,0))))</f>
        <v>3375.6685671015193</v>
      </c>
      <c r="V218">
        <f ca="1">IF($C218-V$1&lt;År1,0,U217*(1-VLOOKUP($A218,[1]Hugst!$R$5:$W$9,MATCH(ROUNDUP((V$1)/10,0)*10,[1]Hugst!$R$4:$W$4,0))))</f>
        <v>3361.219572565084</v>
      </c>
      <c r="W218">
        <f ca="1">IF($C218-W$1&lt;År1,0,V217*(1-VLOOKUP($A218,[1]Hugst!$R$5:$W$9,MATCH(ROUNDUP((W$1)/10,0)*10,[1]Hugst!$R$4:$W$4,0))))</f>
        <v>3346.8045913899155</v>
      </c>
      <c r="X218">
        <f ca="1">IF($C218-X$1&lt;År1,0,W217*(1-VLOOKUP($A218,[1]Hugst!$R$5:$W$9,MATCH(ROUNDUP((X$1)/10,0)*10,[1]Hugst!$R$4:$W$4,0))))</f>
        <v>3332.4235553850767</v>
      </c>
      <c r="Y218">
        <f ca="1">IF($C218-Y$1&lt;År1,0,X217*(1-VLOOKUP($A218,[1]Hugst!$R$5:$W$9,MATCH(ROUNDUP((Y$1)/10,0)*10,[1]Hugst!$R$4:$W$4,0))))</f>
        <v>3318.0763965274418</v>
      </c>
      <c r="Z218">
        <f ca="1">IF($C218-Z$1&lt;År1,0,Y217*(1-VLOOKUP($A218,[1]Hugst!$R$5:$W$9,MATCH(ROUNDUP((Z$1)/10,0)*10,[1]Hugst!$R$4:$W$4,0))))</f>
        <v>5258.9153965373398</v>
      </c>
      <c r="AA218">
        <f ca="1">IF($C218-AA$1&lt;År1,0,Z217*(1-VLOOKUP($A218,[1]Hugst!$R$5:$W$9,MATCH(ROUNDUP((AA$1)/10,0)*10,[1]Hugst!$R$4:$W$4,0))))</f>
        <v>5245.4608909297995</v>
      </c>
      <c r="AB218">
        <f ca="1">IF($C218-AB$1&lt;År1,0,AA217*(1-VLOOKUP($A218,[1]Hugst!$R$5:$W$9,MATCH(ROUNDUP((AB$1)/10,0)*10,[1]Hugst!$R$4:$W$4,0))))</f>
        <v>5243.6470650335123</v>
      </c>
      <c r="AC218">
        <f ca="1">IF($C218-AC$1&lt;År1,0,AB217*(1-VLOOKUP($A218,[1]Hugst!$R$5:$W$9,MATCH(ROUNDUP((AC$1)/10,0)*10,[1]Hugst!$R$4:$W$4,0))))</f>
        <v>5241.8528644557355</v>
      </c>
      <c r="AD218">
        <f ca="1">IF($C218-AD$1&lt;År1,0,AC217*(1-VLOOKUP($A218,[1]Hugst!$R$5:$W$9,MATCH(ROUNDUP((AD$1)/10,0)*10,[1]Hugst!$R$4:$W$4,0))))</f>
        <v>5240.0783314249247</v>
      </c>
      <c r="AE218">
        <f ca="1">IF($C218-AE$1&lt;År1,0,AD217*(1-VLOOKUP($A218,[1]Hugst!$R$5:$W$9,MATCH(ROUNDUP((AE$1)/10,0)*10,[1]Hugst!$R$4:$W$4,0))))</f>
        <v>5238.3235083693562</v>
      </c>
      <c r="AF218">
        <f ca="1">IF($C218-AF$1&lt;År1,0,AE217*(1-VLOOKUP($A218,[1]Hugst!$R$5:$W$9,MATCH(ROUNDUP((AF$1)/10,0)*10,[1]Hugst!$R$4:$W$4,0))))</f>
        <v>5236.5884379179124</v>
      </c>
      <c r="AG218">
        <f ca="1">IF($C218-AG$1&lt;År1,0,AF217*(1-VLOOKUP($A218,[1]Hugst!$R$5:$W$9,MATCH(ROUNDUP((AG$1)/10,0)*10,[1]Hugst!$R$4:$W$4,0))))</f>
        <v>5234.8731629007598</v>
      </c>
      <c r="AH218">
        <f ca="1">IF($C218-AH$1&lt;År1,0,AG217*(1-VLOOKUP($A218,[1]Hugst!$R$5:$W$9,MATCH(ROUNDUP((AH$1)/10,0)*10,[1]Hugst!$R$4:$W$4,0))))</f>
        <v>5233.1777263501144</v>
      </c>
      <c r="AI218">
        <f ca="1">IF($C218-AI$1&lt;År1,0,AH217*(1-VLOOKUP($A218,[1]Hugst!$R$5:$W$9,MATCH(ROUNDUP((AI$1)/10,0)*10,[1]Hugst!$R$4:$W$4,0))))</f>
        <v>5231.5021715008834</v>
      </c>
      <c r="AJ218">
        <f ca="1">IF($C218-AJ$1&lt;År1,0,AI217*(1-VLOOKUP($A218,[1]Hugst!$R$5:$W$9,MATCH(ROUNDUP((AJ$1)/10,0)*10,[1]Hugst!$R$4:$W$4,0))))</f>
        <v>5232.7200838474982</v>
      </c>
    </row>
    <row r="219" spans="1:36" x14ac:dyDescent="0.55000000000000004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960.76975059052859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55000000000000004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959.33711395878777</v>
      </c>
      <c r="G220">
        <f ca="1">IF($C220-G$1&lt;År1,0,F219*(1-VLOOKUP($A220,[1]Hugst!$R$5:$W$9,MATCH(ROUNDUP((G$1)/10,0)*10,[1]Hugst!$R$4:$W$4,0))))</f>
        <v>960.76975059052859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55000000000000004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957.91164051020678</v>
      </c>
      <c r="G221">
        <f ca="1">IF($C221-G$1&lt;År1,0,F220*(1-VLOOKUP($A221,[1]Hugst!$R$5:$W$9,MATCH(ROUNDUP((G$1)/10,0)*10,[1]Hugst!$R$4:$W$4,0))))</f>
        <v>959.33711395878777</v>
      </c>
      <c r="H221">
        <f ca="1">IF($C221-H$1&lt;År1,0,G220*(1-VLOOKUP($A221,[1]Hugst!$R$5:$W$9,MATCH(ROUNDUP((H$1)/10,0)*10,[1]Hugst!$R$4:$W$4,0))))</f>
        <v>960.76975059052859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55000000000000004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956.49329442886085</v>
      </c>
      <c r="G222">
        <f ca="1">IF($C222-G$1&lt;År1,0,F221*(1-VLOOKUP($A222,[1]Hugst!$R$5:$W$9,MATCH(ROUNDUP((G$1)/10,0)*10,[1]Hugst!$R$4:$W$4,0))))</f>
        <v>957.91164051020678</v>
      </c>
      <c r="H222">
        <f ca="1">IF($C222-H$1&lt;År1,0,G221*(1-VLOOKUP($A222,[1]Hugst!$R$5:$W$9,MATCH(ROUNDUP((H$1)/10,0)*10,[1]Hugst!$R$4:$W$4,0))))</f>
        <v>959.33711395878777</v>
      </c>
      <c r="I222">
        <f ca="1">IF($C222-I$1&lt;År1,0,H221*(1-VLOOKUP($A222,[1]Hugst!$R$5:$W$9,MATCH(ROUNDUP((I$1)/10,0)*10,[1]Hugst!$R$4:$W$4,0))))</f>
        <v>960.76975059052859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55000000000000004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955.0820400779362</v>
      </c>
      <c r="G223">
        <f ca="1">IF($C223-G$1&lt;År1,0,F222*(1-VLOOKUP($A223,[1]Hugst!$R$5:$W$9,MATCH(ROUNDUP((G$1)/10,0)*10,[1]Hugst!$R$4:$W$4,0))))</f>
        <v>956.49329442886085</v>
      </c>
      <c r="H223">
        <f ca="1">IF($C223-H$1&lt;År1,0,G222*(1-VLOOKUP($A223,[1]Hugst!$R$5:$W$9,MATCH(ROUNDUP((H$1)/10,0)*10,[1]Hugst!$R$4:$W$4,0))))</f>
        <v>957.91164051020678</v>
      </c>
      <c r="I223">
        <f ca="1">IF($C223-I$1&lt;År1,0,H222*(1-VLOOKUP($A223,[1]Hugst!$R$5:$W$9,MATCH(ROUNDUP((I$1)/10,0)*10,[1]Hugst!$R$4:$W$4,0))))</f>
        <v>959.33711395878777</v>
      </c>
      <c r="J223">
        <f ca="1">IF($C223-J$1&lt;År1,0,I222*(1-VLOOKUP($A223,[1]Hugst!$R$5:$W$9,MATCH(ROUNDUP((J$1)/10,0)*10,[1]Hugst!$R$4:$W$4,0))))</f>
        <v>960.76975059052859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55000000000000004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953.67784199875382</v>
      </c>
      <c r="G224">
        <f ca="1">IF($C224-G$1&lt;År1,0,F223*(1-VLOOKUP($A224,[1]Hugst!$R$5:$W$9,MATCH(ROUNDUP((G$1)/10,0)*10,[1]Hugst!$R$4:$W$4,0))))</f>
        <v>955.0820400779362</v>
      </c>
      <c r="H224">
        <f ca="1">IF($C224-H$1&lt;År1,0,G223*(1-VLOOKUP($A224,[1]Hugst!$R$5:$W$9,MATCH(ROUNDUP((H$1)/10,0)*10,[1]Hugst!$R$4:$W$4,0))))</f>
        <v>956.49329442886085</v>
      </c>
      <c r="I224">
        <f ca="1">IF($C224-I$1&lt;År1,0,H223*(1-VLOOKUP($A224,[1]Hugst!$R$5:$W$9,MATCH(ROUNDUP((I$1)/10,0)*10,[1]Hugst!$R$4:$W$4,0))))</f>
        <v>957.91164051020678</v>
      </c>
      <c r="J224">
        <f ca="1">IF($C224-J$1&lt;År1,0,I223*(1-VLOOKUP($A224,[1]Hugst!$R$5:$W$9,MATCH(ROUNDUP((J$1)/10,0)*10,[1]Hugst!$R$4:$W$4,0))))</f>
        <v>959.33711395878777</v>
      </c>
      <c r="K224">
        <f ca="1">IF($C224-K$1&lt;År1,0,J223*(1-VLOOKUP($A224,[1]Hugst!$R$5:$W$9,MATCH(ROUNDUP((K$1)/10,0)*10,[1]Hugst!$R$4:$W$4,0))))</f>
        <v>960.76975059052859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55000000000000004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952.28066490998458</v>
      </c>
      <c r="G225">
        <f ca="1">IF($C225-G$1&lt;År1,0,F224*(1-VLOOKUP($A225,[1]Hugst!$R$5:$W$9,MATCH(ROUNDUP((G$1)/10,0)*10,[1]Hugst!$R$4:$W$4,0))))</f>
        <v>953.67784199875382</v>
      </c>
      <c r="H225">
        <f ca="1">IF($C225-H$1&lt;År1,0,G224*(1-VLOOKUP($A225,[1]Hugst!$R$5:$W$9,MATCH(ROUNDUP((H$1)/10,0)*10,[1]Hugst!$R$4:$W$4,0))))</f>
        <v>955.0820400779362</v>
      </c>
      <c r="I225">
        <f ca="1">IF($C225-I$1&lt;År1,0,H224*(1-VLOOKUP($A225,[1]Hugst!$R$5:$W$9,MATCH(ROUNDUP((I$1)/10,0)*10,[1]Hugst!$R$4:$W$4,0))))</f>
        <v>956.49329442886085</v>
      </c>
      <c r="J225">
        <f ca="1">IF($C225-J$1&lt;År1,0,I224*(1-VLOOKUP($A225,[1]Hugst!$R$5:$W$9,MATCH(ROUNDUP((J$1)/10,0)*10,[1]Hugst!$R$4:$W$4,0))))</f>
        <v>957.91164051020678</v>
      </c>
      <c r="K225">
        <f ca="1">IF($C225-K$1&lt;År1,0,J224*(1-VLOOKUP($A225,[1]Hugst!$R$5:$W$9,MATCH(ROUNDUP((K$1)/10,0)*10,[1]Hugst!$R$4:$W$4,0))))</f>
        <v>959.33711395878777</v>
      </c>
      <c r="L225">
        <f ca="1">IF($C225-L$1&lt;År1,0,K224*(1-VLOOKUP($A225,[1]Hugst!$R$5:$W$9,MATCH(ROUNDUP((L$1)/10,0)*10,[1]Hugst!$R$4:$W$4,0))))</f>
        <v>960.76975059052859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55000000000000004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950.8904737066332</v>
      </c>
      <c r="G226">
        <f ca="1">IF($C226-G$1&lt;År1,0,F225*(1-VLOOKUP($A226,[1]Hugst!$R$5:$W$9,MATCH(ROUNDUP((G$1)/10,0)*10,[1]Hugst!$R$4:$W$4,0))))</f>
        <v>952.28066490998458</v>
      </c>
      <c r="H226">
        <f ca="1">IF($C226-H$1&lt;År1,0,G225*(1-VLOOKUP($A226,[1]Hugst!$R$5:$W$9,MATCH(ROUNDUP((H$1)/10,0)*10,[1]Hugst!$R$4:$W$4,0))))</f>
        <v>953.67784199875382</v>
      </c>
      <c r="I226">
        <f ca="1">IF($C226-I$1&lt;År1,0,H225*(1-VLOOKUP($A226,[1]Hugst!$R$5:$W$9,MATCH(ROUNDUP((I$1)/10,0)*10,[1]Hugst!$R$4:$W$4,0))))</f>
        <v>955.0820400779362</v>
      </c>
      <c r="J226">
        <f ca="1">IF($C226-J$1&lt;År1,0,I225*(1-VLOOKUP($A226,[1]Hugst!$R$5:$W$9,MATCH(ROUNDUP((J$1)/10,0)*10,[1]Hugst!$R$4:$W$4,0))))</f>
        <v>956.49329442886085</v>
      </c>
      <c r="K226">
        <f ca="1">IF($C226-K$1&lt;År1,0,J225*(1-VLOOKUP($A226,[1]Hugst!$R$5:$W$9,MATCH(ROUNDUP((K$1)/10,0)*10,[1]Hugst!$R$4:$W$4,0))))</f>
        <v>957.91164051020678</v>
      </c>
      <c r="L226">
        <f ca="1">IF($C226-L$1&lt;År1,0,K225*(1-VLOOKUP($A226,[1]Hugst!$R$5:$W$9,MATCH(ROUNDUP((L$1)/10,0)*10,[1]Hugst!$R$4:$W$4,0))))</f>
        <v>959.33711395878777</v>
      </c>
      <c r="M226">
        <f ca="1">IF($C226-M$1&lt;År1,0,L225*(1-VLOOKUP($A226,[1]Hugst!$R$5:$W$9,MATCH(ROUNDUP((M$1)/10,0)*10,[1]Hugst!$R$4:$W$4,0))))</f>
        <v>960.76975059052859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55000000000000004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949.50723345931829</v>
      </c>
      <c r="G227">
        <f ca="1">IF($C227-G$1&lt;År1,0,F226*(1-VLOOKUP($A227,[1]Hugst!$R$5:$W$9,MATCH(ROUNDUP((G$1)/10,0)*10,[1]Hugst!$R$4:$W$4,0))))</f>
        <v>950.8904737066332</v>
      </c>
      <c r="H227">
        <f ca="1">IF($C227-H$1&lt;År1,0,G226*(1-VLOOKUP($A227,[1]Hugst!$R$5:$W$9,MATCH(ROUNDUP((H$1)/10,0)*10,[1]Hugst!$R$4:$W$4,0))))</f>
        <v>952.28066490998458</v>
      </c>
      <c r="I227">
        <f ca="1">IF($C227-I$1&lt;År1,0,H226*(1-VLOOKUP($A227,[1]Hugst!$R$5:$W$9,MATCH(ROUNDUP((I$1)/10,0)*10,[1]Hugst!$R$4:$W$4,0))))</f>
        <v>953.67784199875382</v>
      </c>
      <c r="J227">
        <f ca="1">IF($C227-J$1&lt;År1,0,I226*(1-VLOOKUP($A227,[1]Hugst!$R$5:$W$9,MATCH(ROUNDUP((J$1)/10,0)*10,[1]Hugst!$R$4:$W$4,0))))</f>
        <v>955.0820400779362</v>
      </c>
      <c r="K227">
        <f ca="1">IF($C227-K$1&lt;År1,0,J226*(1-VLOOKUP($A227,[1]Hugst!$R$5:$W$9,MATCH(ROUNDUP((K$1)/10,0)*10,[1]Hugst!$R$4:$W$4,0))))</f>
        <v>956.49329442886085</v>
      </c>
      <c r="L227">
        <f ca="1">IF($C227-L$1&lt;År1,0,K226*(1-VLOOKUP($A227,[1]Hugst!$R$5:$W$9,MATCH(ROUNDUP((L$1)/10,0)*10,[1]Hugst!$R$4:$W$4,0))))</f>
        <v>957.91164051020678</v>
      </c>
      <c r="M227">
        <f ca="1">IF($C227-M$1&lt;År1,0,L226*(1-VLOOKUP($A227,[1]Hugst!$R$5:$W$9,MATCH(ROUNDUP((M$1)/10,0)*10,[1]Hugst!$R$4:$W$4,0))))</f>
        <v>959.33711395878777</v>
      </c>
      <c r="N227">
        <f ca="1">IF($C227-N$1&lt;År1,0,M226*(1-VLOOKUP($A227,[1]Hugst!$R$5:$W$9,MATCH(ROUNDUP((N$1)/10,0)*10,[1]Hugst!$R$4:$W$4,0))))</f>
        <v>960.76975059052859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55000000000000004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948.13090941323208</v>
      </c>
      <c r="G228">
        <f ca="1">IF($C228-G$1&lt;År1,0,F227*(1-VLOOKUP($A228,[1]Hugst!$R$5:$W$9,MATCH(ROUNDUP((G$1)/10,0)*10,[1]Hugst!$R$4:$W$4,0))))</f>
        <v>949.50723345931829</v>
      </c>
      <c r="H228">
        <f ca="1">IF($C228-H$1&lt;År1,0,G227*(1-VLOOKUP($A228,[1]Hugst!$R$5:$W$9,MATCH(ROUNDUP((H$1)/10,0)*10,[1]Hugst!$R$4:$W$4,0))))</f>
        <v>950.8904737066332</v>
      </c>
      <c r="I228">
        <f ca="1">IF($C228-I$1&lt;År1,0,H227*(1-VLOOKUP($A228,[1]Hugst!$R$5:$W$9,MATCH(ROUNDUP((I$1)/10,0)*10,[1]Hugst!$R$4:$W$4,0))))</f>
        <v>952.28066490998458</v>
      </c>
      <c r="J228">
        <f ca="1">IF($C228-J$1&lt;År1,0,I227*(1-VLOOKUP($A228,[1]Hugst!$R$5:$W$9,MATCH(ROUNDUP((J$1)/10,0)*10,[1]Hugst!$R$4:$W$4,0))))</f>
        <v>953.67784199875382</v>
      </c>
      <c r="K228">
        <f ca="1">IF($C228-K$1&lt;År1,0,J227*(1-VLOOKUP($A228,[1]Hugst!$R$5:$W$9,MATCH(ROUNDUP((K$1)/10,0)*10,[1]Hugst!$R$4:$W$4,0))))</f>
        <v>955.0820400779362</v>
      </c>
      <c r="L228">
        <f ca="1">IF($C228-L$1&lt;År1,0,K227*(1-VLOOKUP($A228,[1]Hugst!$R$5:$W$9,MATCH(ROUNDUP((L$1)/10,0)*10,[1]Hugst!$R$4:$W$4,0))))</f>
        <v>956.49329442886085</v>
      </c>
      <c r="M228">
        <f ca="1">IF($C228-M$1&lt;År1,0,L227*(1-VLOOKUP($A228,[1]Hugst!$R$5:$W$9,MATCH(ROUNDUP((M$1)/10,0)*10,[1]Hugst!$R$4:$W$4,0))))</f>
        <v>957.91164051020678</v>
      </c>
      <c r="N228">
        <f ca="1">IF($C228-N$1&lt;År1,0,M227*(1-VLOOKUP($A228,[1]Hugst!$R$5:$W$9,MATCH(ROUNDUP((N$1)/10,0)*10,[1]Hugst!$R$4:$W$4,0))))</f>
        <v>959.33711395878777</v>
      </c>
      <c r="O228">
        <f ca="1">IF($C228-O$1&lt;År1,0,N227*(1-VLOOKUP($A228,[1]Hugst!$R$5:$W$9,MATCH(ROUNDUP((O$1)/10,0)*10,[1]Hugst!$R$4:$W$4,0))))</f>
        <v>960.76975059052859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55000000000000004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2.1090067695895414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948.87047375697375</v>
      </c>
      <c r="G229">
        <f ca="1">IF($C229-G$1&lt;År1,0,F228*(1-VLOOKUP($A229,[1]Hugst!$R$5:$W$9,MATCH(ROUNDUP((G$1)/10,0)*10,[1]Hugst!$R$4:$W$4,0))))</f>
        <v>948.13090941323208</v>
      </c>
      <c r="H229">
        <f ca="1">IF($C229-H$1&lt;År1,0,G228*(1-VLOOKUP($A229,[1]Hugst!$R$5:$W$9,MATCH(ROUNDUP((H$1)/10,0)*10,[1]Hugst!$R$4:$W$4,0))))</f>
        <v>949.50723345931829</v>
      </c>
      <c r="I229">
        <f ca="1">IF($C229-I$1&lt;År1,0,H228*(1-VLOOKUP($A229,[1]Hugst!$R$5:$W$9,MATCH(ROUNDUP((I$1)/10,0)*10,[1]Hugst!$R$4:$W$4,0))))</f>
        <v>950.8904737066332</v>
      </c>
      <c r="J229">
        <f ca="1">IF($C229-J$1&lt;År1,0,I228*(1-VLOOKUP($A229,[1]Hugst!$R$5:$W$9,MATCH(ROUNDUP((J$1)/10,0)*10,[1]Hugst!$R$4:$W$4,0))))</f>
        <v>952.28066490998458</v>
      </c>
      <c r="K229">
        <f ca="1">IF($C229-K$1&lt;År1,0,J228*(1-VLOOKUP($A229,[1]Hugst!$R$5:$W$9,MATCH(ROUNDUP((K$1)/10,0)*10,[1]Hugst!$R$4:$W$4,0))))</f>
        <v>953.67784199875382</v>
      </c>
      <c r="L229">
        <f ca="1">IF($C229-L$1&lt;År1,0,K228*(1-VLOOKUP($A229,[1]Hugst!$R$5:$W$9,MATCH(ROUNDUP((L$1)/10,0)*10,[1]Hugst!$R$4:$W$4,0))))</f>
        <v>955.0820400779362</v>
      </c>
      <c r="M229">
        <f ca="1">IF($C229-M$1&lt;År1,0,L228*(1-VLOOKUP($A229,[1]Hugst!$R$5:$W$9,MATCH(ROUNDUP((M$1)/10,0)*10,[1]Hugst!$R$4:$W$4,0))))</f>
        <v>956.49329442886085</v>
      </c>
      <c r="N229">
        <f ca="1">IF($C229-N$1&lt;År1,0,M228*(1-VLOOKUP($A229,[1]Hugst!$R$5:$W$9,MATCH(ROUNDUP((N$1)/10,0)*10,[1]Hugst!$R$4:$W$4,0))))</f>
        <v>957.91164051020678</v>
      </c>
      <c r="O229">
        <f ca="1">IF($C229-O$1&lt;År1,0,N228*(1-VLOOKUP($A229,[1]Hugst!$R$5:$W$9,MATCH(ROUNDUP((O$1)/10,0)*10,[1]Hugst!$R$4:$W$4,0))))</f>
        <v>959.33711395878777</v>
      </c>
      <c r="P229">
        <f ca="1">IF($C229-P$1&lt;År1,0,O228*(1-VLOOKUP($A229,[1]Hugst!$R$5:$W$9,MATCH(ROUNDUP((P$1)/10,0)*10,[1]Hugst!$R$4:$W$4,0))))</f>
        <v>958.66074382093962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55000000000000004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4.2102392000033433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646.20002006455798</v>
      </c>
      <c r="G230">
        <f ca="1">IF($C230-G$1&lt;År1,0,F229*(1-VLOOKUP($A230,[1]Hugst!$R$5:$W$9,MATCH(ROUNDUP((G$1)/10,0)*10,[1]Hugst!$R$4:$W$4,0))))</f>
        <v>948.87047375697375</v>
      </c>
      <c r="H230">
        <f ca="1">IF($C230-H$1&lt;År1,0,G229*(1-VLOOKUP($A230,[1]Hugst!$R$5:$W$9,MATCH(ROUNDUP((H$1)/10,0)*10,[1]Hugst!$R$4:$W$4,0))))</f>
        <v>948.13090941323208</v>
      </c>
      <c r="I230">
        <f ca="1">IF($C230-I$1&lt;År1,0,H229*(1-VLOOKUP($A230,[1]Hugst!$R$5:$W$9,MATCH(ROUNDUP((I$1)/10,0)*10,[1]Hugst!$R$4:$W$4,0))))</f>
        <v>949.50723345931829</v>
      </c>
      <c r="J230">
        <f ca="1">IF($C230-J$1&lt;År1,0,I229*(1-VLOOKUP($A230,[1]Hugst!$R$5:$W$9,MATCH(ROUNDUP((J$1)/10,0)*10,[1]Hugst!$R$4:$W$4,0))))</f>
        <v>950.8904737066332</v>
      </c>
      <c r="K230">
        <f ca="1">IF($C230-K$1&lt;År1,0,J229*(1-VLOOKUP($A230,[1]Hugst!$R$5:$W$9,MATCH(ROUNDUP((K$1)/10,0)*10,[1]Hugst!$R$4:$W$4,0))))</f>
        <v>952.28066490998458</v>
      </c>
      <c r="L230">
        <f ca="1">IF($C230-L$1&lt;År1,0,K229*(1-VLOOKUP($A230,[1]Hugst!$R$5:$W$9,MATCH(ROUNDUP((L$1)/10,0)*10,[1]Hugst!$R$4:$W$4,0))))</f>
        <v>953.67784199875382</v>
      </c>
      <c r="M230">
        <f ca="1">IF($C230-M$1&lt;År1,0,L229*(1-VLOOKUP($A230,[1]Hugst!$R$5:$W$9,MATCH(ROUNDUP((M$1)/10,0)*10,[1]Hugst!$R$4:$W$4,0))))</f>
        <v>955.0820400779362</v>
      </c>
      <c r="N230">
        <f ca="1">IF($C230-N$1&lt;År1,0,M229*(1-VLOOKUP($A230,[1]Hugst!$R$5:$W$9,MATCH(ROUNDUP((N$1)/10,0)*10,[1]Hugst!$R$4:$W$4,0))))</f>
        <v>956.49329442886085</v>
      </c>
      <c r="O230">
        <f ca="1">IF($C230-O$1&lt;År1,0,N229*(1-VLOOKUP($A230,[1]Hugst!$R$5:$W$9,MATCH(ROUNDUP((O$1)/10,0)*10,[1]Hugst!$R$4:$W$4,0))))</f>
        <v>957.91164051020678</v>
      </c>
      <c r="P230">
        <f ca="1">IF($C230-P$1&lt;År1,0,O229*(1-VLOOKUP($A230,[1]Hugst!$R$5:$W$9,MATCH(ROUNDUP((P$1)/10,0)*10,[1]Hugst!$R$4:$W$4,0))))</f>
        <v>957.23125200131722</v>
      </c>
      <c r="Q230">
        <f ca="1">IF($C230-Q$1&lt;År1,0,P229*(1-VLOOKUP($A230,[1]Hugst!$R$5:$W$9,MATCH(ROUNDUP((Q$1)/10,0)*10,[1]Hugst!$R$4:$W$4,0))))</f>
        <v>956.5563665784058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55000000000000004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6.3037300809282897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646.93772870783687</v>
      </c>
      <c r="G231">
        <f ca="1">IF($C231-G$1&lt;År1,0,F230*(1-VLOOKUP($A231,[1]Hugst!$R$5:$W$9,MATCH(ROUNDUP((G$1)/10,0)*10,[1]Hugst!$R$4:$W$4,0))))</f>
        <v>646.20002006455798</v>
      </c>
      <c r="H231">
        <f ca="1">IF($C231-H$1&lt;År1,0,G230*(1-VLOOKUP($A231,[1]Hugst!$R$5:$W$9,MATCH(ROUNDUP((H$1)/10,0)*10,[1]Hugst!$R$4:$W$4,0))))</f>
        <v>948.87047375697375</v>
      </c>
      <c r="I231">
        <f ca="1">IF($C231-I$1&lt;År1,0,H230*(1-VLOOKUP($A231,[1]Hugst!$R$5:$W$9,MATCH(ROUNDUP((I$1)/10,0)*10,[1]Hugst!$R$4:$W$4,0))))</f>
        <v>948.13090941323208</v>
      </c>
      <c r="J231">
        <f ca="1">IF($C231-J$1&lt;År1,0,I230*(1-VLOOKUP($A231,[1]Hugst!$R$5:$W$9,MATCH(ROUNDUP((J$1)/10,0)*10,[1]Hugst!$R$4:$W$4,0))))</f>
        <v>949.50723345931829</v>
      </c>
      <c r="K231">
        <f ca="1">IF($C231-K$1&lt;År1,0,J230*(1-VLOOKUP($A231,[1]Hugst!$R$5:$W$9,MATCH(ROUNDUP((K$1)/10,0)*10,[1]Hugst!$R$4:$W$4,0))))</f>
        <v>950.8904737066332</v>
      </c>
      <c r="L231">
        <f ca="1">IF($C231-L$1&lt;År1,0,K230*(1-VLOOKUP($A231,[1]Hugst!$R$5:$W$9,MATCH(ROUNDUP((L$1)/10,0)*10,[1]Hugst!$R$4:$W$4,0))))</f>
        <v>952.28066490998458</v>
      </c>
      <c r="M231">
        <f ca="1">IF($C231-M$1&lt;År1,0,L230*(1-VLOOKUP($A231,[1]Hugst!$R$5:$W$9,MATCH(ROUNDUP((M$1)/10,0)*10,[1]Hugst!$R$4:$W$4,0))))</f>
        <v>953.67784199875382</v>
      </c>
      <c r="N231">
        <f ca="1">IF($C231-N$1&lt;År1,0,M230*(1-VLOOKUP($A231,[1]Hugst!$R$5:$W$9,MATCH(ROUNDUP((N$1)/10,0)*10,[1]Hugst!$R$4:$W$4,0))))</f>
        <v>955.0820400779362</v>
      </c>
      <c r="O231">
        <f ca="1">IF($C231-O$1&lt;År1,0,N230*(1-VLOOKUP($A231,[1]Hugst!$R$5:$W$9,MATCH(ROUNDUP((O$1)/10,0)*10,[1]Hugst!$R$4:$W$4,0))))</f>
        <v>956.49329442886085</v>
      </c>
      <c r="P231">
        <f ca="1">IF($C231-P$1&lt;År1,0,O230*(1-VLOOKUP($A231,[1]Hugst!$R$5:$W$9,MATCH(ROUNDUP((P$1)/10,0)*10,[1]Hugst!$R$4:$W$4,0))))</f>
        <v>955.80890764079413</v>
      </c>
      <c r="Q231">
        <f ca="1">IF($C231-Q$1&lt;År1,0,P230*(1-VLOOKUP($A231,[1]Hugst!$R$5:$W$9,MATCH(ROUNDUP((Q$1)/10,0)*10,[1]Hugst!$R$4:$W$4,0))))</f>
        <v>955.13001266765582</v>
      </c>
      <c r="R231">
        <f ca="1">IF($C231-R$1&lt;År1,0,Q230*(1-VLOOKUP($A231,[1]Hugst!$R$5:$W$9,MATCH(ROUNDUP((R$1)/10,0)*10,[1]Hugst!$R$4:$W$4,0))))</f>
        <v>954.45660870055076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55000000000000004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8.3895120514498558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647.67450735188686</v>
      </c>
      <c r="G232">
        <f ca="1">IF($C232-G$1&lt;År1,0,F231*(1-VLOOKUP($A232,[1]Hugst!$R$5:$W$9,MATCH(ROUNDUP((G$1)/10,0)*10,[1]Hugst!$R$4:$W$4,0))))</f>
        <v>646.93772870783687</v>
      </c>
      <c r="H232">
        <f ca="1">IF($C232-H$1&lt;År1,0,G231*(1-VLOOKUP($A232,[1]Hugst!$R$5:$W$9,MATCH(ROUNDUP((H$1)/10,0)*10,[1]Hugst!$R$4:$W$4,0))))</f>
        <v>646.20002006455798</v>
      </c>
      <c r="I232">
        <f ca="1">IF($C232-I$1&lt;År1,0,H231*(1-VLOOKUP($A232,[1]Hugst!$R$5:$W$9,MATCH(ROUNDUP((I$1)/10,0)*10,[1]Hugst!$R$4:$W$4,0))))</f>
        <v>948.87047375697375</v>
      </c>
      <c r="J232">
        <f ca="1">IF($C232-J$1&lt;År1,0,I231*(1-VLOOKUP($A232,[1]Hugst!$R$5:$W$9,MATCH(ROUNDUP((J$1)/10,0)*10,[1]Hugst!$R$4:$W$4,0))))</f>
        <v>948.13090941323208</v>
      </c>
      <c r="K232">
        <f ca="1">IF($C232-K$1&lt;År1,0,J231*(1-VLOOKUP($A232,[1]Hugst!$R$5:$W$9,MATCH(ROUNDUP((K$1)/10,0)*10,[1]Hugst!$R$4:$W$4,0))))</f>
        <v>949.50723345931829</v>
      </c>
      <c r="L232">
        <f ca="1">IF($C232-L$1&lt;År1,0,K231*(1-VLOOKUP($A232,[1]Hugst!$R$5:$W$9,MATCH(ROUNDUP((L$1)/10,0)*10,[1]Hugst!$R$4:$W$4,0))))</f>
        <v>950.8904737066332</v>
      </c>
      <c r="M232">
        <f ca="1">IF($C232-M$1&lt;År1,0,L231*(1-VLOOKUP($A232,[1]Hugst!$R$5:$W$9,MATCH(ROUNDUP((M$1)/10,0)*10,[1]Hugst!$R$4:$W$4,0))))</f>
        <v>952.28066490998458</v>
      </c>
      <c r="N232">
        <f ca="1">IF($C232-N$1&lt;År1,0,M231*(1-VLOOKUP($A232,[1]Hugst!$R$5:$W$9,MATCH(ROUNDUP((N$1)/10,0)*10,[1]Hugst!$R$4:$W$4,0))))</f>
        <v>953.67784199875382</v>
      </c>
      <c r="O232">
        <f ca="1">IF($C232-O$1&lt;År1,0,N231*(1-VLOOKUP($A232,[1]Hugst!$R$5:$W$9,MATCH(ROUNDUP((O$1)/10,0)*10,[1]Hugst!$R$4:$W$4,0))))</f>
        <v>955.0820400779362</v>
      </c>
      <c r="P232">
        <f ca="1">IF($C232-P$1&lt;År1,0,O231*(1-VLOOKUP($A232,[1]Hugst!$R$5:$W$9,MATCH(ROUNDUP((P$1)/10,0)*10,[1]Hugst!$R$4:$W$4,0))))</f>
        <v>954.39367500206583</v>
      </c>
      <c r="Q232">
        <f ca="1">IF($C232-Q$1&lt;År1,0,P231*(1-VLOOKUP($A232,[1]Hugst!$R$5:$W$9,MATCH(ROUNDUP((Q$1)/10,0)*10,[1]Hugst!$R$4:$W$4,0))))</f>
        <v>953.71079052646064</v>
      </c>
      <c r="R232">
        <f ca="1">IF($C232-R$1&lt;År1,0,Q231*(1-VLOOKUP($A232,[1]Hugst!$R$5:$W$9,MATCH(ROUNDUP((R$1)/10,0)*10,[1]Hugst!$R$4:$W$4,0))))</f>
        <v>953.03338581058051</v>
      </c>
      <c r="S232">
        <f ca="1">IF($C232-S$1&lt;År1,0,R231*(1-VLOOKUP($A232,[1]Hugst!$R$5:$W$9,MATCH(ROUNDUP((S$1)/10,0)*10,[1]Hugst!$R$4:$W$4,0))))</f>
        <v>952.36146004730563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55000000000000004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10.467617600776066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648.41035459137856</v>
      </c>
      <c r="G233">
        <f ca="1">IF($C233-G$1&lt;År1,0,F232*(1-VLOOKUP($A233,[1]Hugst!$R$5:$W$9,MATCH(ROUNDUP((G$1)/10,0)*10,[1]Hugst!$R$4:$W$4,0))))</f>
        <v>647.67450735188686</v>
      </c>
      <c r="H233">
        <f ca="1">IF($C233-H$1&lt;År1,0,G232*(1-VLOOKUP($A233,[1]Hugst!$R$5:$W$9,MATCH(ROUNDUP((H$1)/10,0)*10,[1]Hugst!$R$4:$W$4,0))))</f>
        <v>646.93772870783687</v>
      </c>
      <c r="I233">
        <f ca="1">IF($C233-I$1&lt;År1,0,H232*(1-VLOOKUP($A233,[1]Hugst!$R$5:$W$9,MATCH(ROUNDUP((I$1)/10,0)*10,[1]Hugst!$R$4:$W$4,0))))</f>
        <v>646.20002006455798</v>
      </c>
      <c r="J233">
        <f ca="1">IF($C233-J$1&lt;År1,0,I232*(1-VLOOKUP($A233,[1]Hugst!$R$5:$W$9,MATCH(ROUNDUP((J$1)/10,0)*10,[1]Hugst!$R$4:$W$4,0))))</f>
        <v>948.87047375697375</v>
      </c>
      <c r="K233">
        <f ca="1">IF($C233-K$1&lt;År1,0,J232*(1-VLOOKUP($A233,[1]Hugst!$R$5:$W$9,MATCH(ROUNDUP((K$1)/10,0)*10,[1]Hugst!$R$4:$W$4,0))))</f>
        <v>948.13090941323208</v>
      </c>
      <c r="L233">
        <f ca="1">IF($C233-L$1&lt;År1,0,K232*(1-VLOOKUP($A233,[1]Hugst!$R$5:$W$9,MATCH(ROUNDUP((L$1)/10,0)*10,[1]Hugst!$R$4:$W$4,0))))</f>
        <v>949.50723345931829</v>
      </c>
      <c r="M233">
        <f ca="1">IF($C233-M$1&lt;År1,0,L232*(1-VLOOKUP($A233,[1]Hugst!$R$5:$W$9,MATCH(ROUNDUP((M$1)/10,0)*10,[1]Hugst!$R$4:$W$4,0))))</f>
        <v>950.8904737066332</v>
      </c>
      <c r="N233">
        <f ca="1">IF($C233-N$1&lt;År1,0,M232*(1-VLOOKUP($A233,[1]Hugst!$R$5:$W$9,MATCH(ROUNDUP((N$1)/10,0)*10,[1]Hugst!$R$4:$W$4,0))))</f>
        <v>952.28066490998458</v>
      </c>
      <c r="O233">
        <f ca="1">IF($C233-O$1&lt;År1,0,N232*(1-VLOOKUP($A233,[1]Hugst!$R$5:$W$9,MATCH(ROUNDUP((O$1)/10,0)*10,[1]Hugst!$R$4:$W$4,0))))</f>
        <v>953.67784199875382</v>
      </c>
      <c r="P233">
        <f ca="1">IF($C233-P$1&lt;År1,0,O232*(1-VLOOKUP($A233,[1]Hugst!$R$5:$W$9,MATCH(ROUNDUP((P$1)/10,0)*10,[1]Hugst!$R$4:$W$4,0))))</f>
        <v>952.98551852654566</v>
      </c>
      <c r="Q233">
        <f ca="1">IF($C233-Q$1&lt;År1,0,P232*(1-VLOOKUP($A233,[1]Hugst!$R$5:$W$9,MATCH(ROUNDUP((Q$1)/10,0)*10,[1]Hugst!$R$4:$W$4,0))))</f>
        <v>952.29866449596375</v>
      </c>
      <c r="R233">
        <f ca="1">IF($C233-R$1&lt;År1,0,Q232*(1-VLOOKUP($A233,[1]Hugst!$R$5:$W$9,MATCH(ROUNDUP((R$1)/10,0)*10,[1]Hugst!$R$4:$W$4,0))))</f>
        <v>951.61727903506107</v>
      </c>
      <c r="S233">
        <f ca="1">IF($C233-S$1&lt;År1,0,R232*(1-VLOOKUP($A233,[1]Hugst!$R$5:$W$9,MATCH(ROUNDUP((S$1)/10,0)*10,[1]Hugst!$R$4:$W$4,0))))</f>
        <v>950.94136130514266</v>
      </c>
      <c r="T233">
        <f ca="1">IF($C233-T$1&lt;År1,0,S232*(1-VLOOKUP($A233,[1]Hugst!$R$5:$W$9,MATCH(ROUNDUP((T$1)/10,0)*10,[1]Hugst!$R$4:$W$4,0))))</f>
        <v>950.27091050086028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55000000000000004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12.538079068965089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649.14526904128661</v>
      </c>
      <c r="G234">
        <f ca="1">IF($C234-G$1&lt;År1,0,F233*(1-VLOOKUP($A234,[1]Hugst!$R$5:$W$9,MATCH(ROUNDUP((G$1)/10,0)*10,[1]Hugst!$R$4:$W$4,0))))</f>
        <v>648.41035459137856</v>
      </c>
      <c r="H234">
        <f ca="1">IF($C234-H$1&lt;År1,0,G233*(1-VLOOKUP($A234,[1]Hugst!$R$5:$W$9,MATCH(ROUNDUP((H$1)/10,0)*10,[1]Hugst!$R$4:$W$4,0))))</f>
        <v>647.67450735188686</v>
      </c>
      <c r="I234">
        <f ca="1">IF($C234-I$1&lt;År1,0,H233*(1-VLOOKUP($A234,[1]Hugst!$R$5:$W$9,MATCH(ROUNDUP((I$1)/10,0)*10,[1]Hugst!$R$4:$W$4,0))))</f>
        <v>646.93772870783687</v>
      </c>
      <c r="J234">
        <f ca="1">IF($C234-J$1&lt;År1,0,I233*(1-VLOOKUP($A234,[1]Hugst!$R$5:$W$9,MATCH(ROUNDUP((J$1)/10,0)*10,[1]Hugst!$R$4:$W$4,0))))</f>
        <v>646.20002006455798</v>
      </c>
      <c r="K234">
        <f ca="1">IF($C234-K$1&lt;År1,0,J233*(1-VLOOKUP($A234,[1]Hugst!$R$5:$W$9,MATCH(ROUNDUP((K$1)/10,0)*10,[1]Hugst!$R$4:$W$4,0))))</f>
        <v>948.87047375697375</v>
      </c>
      <c r="L234">
        <f ca="1">IF($C234-L$1&lt;År1,0,K233*(1-VLOOKUP($A234,[1]Hugst!$R$5:$W$9,MATCH(ROUNDUP((L$1)/10,0)*10,[1]Hugst!$R$4:$W$4,0))))</f>
        <v>948.13090941323208</v>
      </c>
      <c r="M234">
        <f ca="1">IF($C234-M$1&lt;År1,0,L233*(1-VLOOKUP($A234,[1]Hugst!$R$5:$W$9,MATCH(ROUNDUP((M$1)/10,0)*10,[1]Hugst!$R$4:$W$4,0))))</f>
        <v>949.50723345931829</v>
      </c>
      <c r="N234">
        <f ca="1">IF($C234-N$1&lt;År1,0,M233*(1-VLOOKUP($A234,[1]Hugst!$R$5:$W$9,MATCH(ROUNDUP((N$1)/10,0)*10,[1]Hugst!$R$4:$W$4,0))))</f>
        <v>950.8904737066332</v>
      </c>
      <c r="O234">
        <f ca="1">IF($C234-O$1&lt;År1,0,N233*(1-VLOOKUP($A234,[1]Hugst!$R$5:$W$9,MATCH(ROUNDUP((O$1)/10,0)*10,[1]Hugst!$R$4:$W$4,0))))</f>
        <v>952.28066490998458</v>
      </c>
      <c r="P234">
        <f ca="1">IF($C234-P$1&lt;År1,0,O233*(1-VLOOKUP($A234,[1]Hugst!$R$5:$W$9,MATCH(ROUNDUP((P$1)/10,0)*10,[1]Hugst!$R$4:$W$4,0))))</f>
        <v>951.58440283339075</v>
      </c>
      <c r="Q234">
        <f ca="1">IF($C234-Q$1&lt;År1,0,P233*(1-VLOOKUP($A234,[1]Hugst!$R$5:$W$9,MATCH(ROUNDUP((Q$1)/10,0)*10,[1]Hugst!$R$4:$W$4,0))))</f>
        <v>950.8935990956337</v>
      </c>
      <c r="R234">
        <f ca="1">IF($C234-R$1&lt;År1,0,Q233*(1-VLOOKUP($A234,[1]Hugst!$R$5:$W$9,MATCH(ROUNDUP((R$1)/10,0)*10,[1]Hugst!$R$4:$W$4,0))))</f>
        <v>950.20825279341159</v>
      </c>
      <c r="S234">
        <f ca="1">IF($C234-S$1&lt;År1,0,R233*(1-VLOOKUP($A234,[1]Hugst!$R$5:$W$9,MATCH(ROUNDUP((S$1)/10,0)*10,[1]Hugst!$R$4:$W$4,0))))</f>
        <v>949.52836305669143</v>
      </c>
      <c r="T234">
        <f ca="1">IF($C234-T$1&lt;År1,0,S233*(1-VLOOKUP($A234,[1]Hugst!$R$5:$W$9,MATCH(ROUNDUP((T$1)/10,0)*10,[1]Hugst!$R$4:$W$4,0))))</f>
        <v>948.85392904861919</v>
      </c>
      <c r="U234">
        <f ca="1">IF($C234-U$1&lt;År1,0,T233*(1-VLOOKUP($A234,[1]Hugst!$R$5:$W$9,MATCH(ROUNDUP((U$1)/10,0)*10,[1]Hugst!$R$4:$W$4,0))))</f>
        <v>948.18494996561446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55000000000000004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14.600928647643741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649.87924933676322</v>
      </c>
      <c r="G235">
        <f ca="1">IF($C235-G$1&lt;År1,0,F234*(1-VLOOKUP($A235,[1]Hugst!$R$5:$W$9,MATCH(ROUNDUP((G$1)/10,0)*10,[1]Hugst!$R$4:$W$4,0))))</f>
        <v>649.14526904128661</v>
      </c>
      <c r="H235">
        <f ca="1">IF($C235-H$1&lt;År1,0,G234*(1-VLOOKUP($A235,[1]Hugst!$R$5:$W$9,MATCH(ROUNDUP((H$1)/10,0)*10,[1]Hugst!$R$4:$W$4,0))))</f>
        <v>648.41035459137856</v>
      </c>
      <c r="I235">
        <f ca="1">IF($C235-I$1&lt;År1,0,H234*(1-VLOOKUP($A235,[1]Hugst!$R$5:$W$9,MATCH(ROUNDUP((I$1)/10,0)*10,[1]Hugst!$R$4:$W$4,0))))</f>
        <v>647.67450735188686</v>
      </c>
      <c r="J235">
        <f ca="1">IF($C235-J$1&lt;År1,0,I234*(1-VLOOKUP($A235,[1]Hugst!$R$5:$W$9,MATCH(ROUNDUP((J$1)/10,0)*10,[1]Hugst!$R$4:$W$4,0))))</f>
        <v>646.93772870783687</v>
      </c>
      <c r="K235">
        <f ca="1">IF($C235-K$1&lt;År1,0,J234*(1-VLOOKUP($A235,[1]Hugst!$R$5:$W$9,MATCH(ROUNDUP((K$1)/10,0)*10,[1]Hugst!$R$4:$W$4,0))))</f>
        <v>646.20002006455798</v>
      </c>
      <c r="L235">
        <f ca="1">IF($C235-L$1&lt;År1,0,K234*(1-VLOOKUP($A235,[1]Hugst!$R$5:$W$9,MATCH(ROUNDUP((L$1)/10,0)*10,[1]Hugst!$R$4:$W$4,0))))</f>
        <v>948.87047375697375</v>
      </c>
      <c r="M235">
        <f ca="1">IF($C235-M$1&lt;År1,0,L234*(1-VLOOKUP($A235,[1]Hugst!$R$5:$W$9,MATCH(ROUNDUP((M$1)/10,0)*10,[1]Hugst!$R$4:$W$4,0))))</f>
        <v>948.13090941323208</v>
      </c>
      <c r="N235">
        <f ca="1">IF($C235-N$1&lt;År1,0,M234*(1-VLOOKUP($A235,[1]Hugst!$R$5:$W$9,MATCH(ROUNDUP((N$1)/10,0)*10,[1]Hugst!$R$4:$W$4,0))))</f>
        <v>949.50723345931829</v>
      </c>
      <c r="O235">
        <f ca="1">IF($C235-O$1&lt;År1,0,N234*(1-VLOOKUP($A235,[1]Hugst!$R$5:$W$9,MATCH(ROUNDUP((O$1)/10,0)*10,[1]Hugst!$R$4:$W$4,0))))</f>
        <v>950.8904737066332</v>
      </c>
      <c r="P235">
        <f ca="1">IF($C235-P$1&lt;År1,0,O234*(1-VLOOKUP($A235,[1]Hugst!$R$5:$W$9,MATCH(ROUNDUP((P$1)/10,0)*10,[1]Hugst!$R$4:$W$4,0))))</f>
        <v>950.19029271871875</v>
      </c>
      <c r="Q235">
        <f ca="1">IF($C235-Q$1&lt;År1,0,P234*(1-VLOOKUP($A235,[1]Hugst!$R$5:$W$9,MATCH(ROUNDUP((Q$1)/10,0)*10,[1]Hugst!$R$4:$W$4,0))))</f>
        <v>949.49555902229304</v>
      </c>
      <c r="R235">
        <f ca="1">IF($C235-R$1&lt;År1,0,Q234*(1-VLOOKUP($A235,[1]Hugst!$R$5:$W$9,MATCH(ROUNDUP((R$1)/10,0)*10,[1]Hugst!$R$4:$W$4,0))))</f>
        <v>948.80627168298474</v>
      </c>
      <c r="S235">
        <f ca="1">IF($C235-S$1&lt;År1,0,R234*(1-VLOOKUP($A235,[1]Hugst!$R$5:$W$9,MATCH(ROUNDUP((S$1)/10,0)*10,[1]Hugst!$R$4:$W$4,0))))</f>
        <v>948.12242979947484</v>
      </c>
      <c r="T235">
        <f ca="1">IF($C235-T$1&lt;År1,0,S234*(1-VLOOKUP($A235,[1]Hugst!$R$5:$W$9,MATCH(ROUNDUP((T$1)/10,0)*10,[1]Hugst!$R$4:$W$4,0))))</f>
        <v>947.44403250364019</v>
      </c>
      <c r="U235">
        <f ca="1">IF($C235-U$1&lt;År1,0,T234*(1-VLOOKUP($A235,[1]Hugst!$R$5:$W$9,MATCH(ROUNDUP((U$1)/10,0)*10,[1]Hugst!$R$4:$W$4,0))))</f>
        <v>946.77107896046368</v>
      </c>
      <c r="V235">
        <f ca="1">IF($C235-V$1&lt;År1,0,U234*(1-VLOOKUP($A235,[1]Hugst!$R$5:$W$9,MATCH(ROUNDUP((V$1)/10,0)*10,[1]Hugst!$R$4:$W$4,0))))</f>
        <v>946.103568368129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55000000000000004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16.656198380696878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650.6122941330409</v>
      </c>
      <c r="G236">
        <f ca="1">IF($C236-G$1&lt;År1,0,F235*(1-VLOOKUP($A236,[1]Hugst!$R$5:$W$9,MATCH(ROUNDUP((G$1)/10,0)*10,[1]Hugst!$R$4:$W$4,0))))</f>
        <v>649.87924933676322</v>
      </c>
      <c r="H236">
        <f ca="1">IF($C236-H$1&lt;År1,0,G235*(1-VLOOKUP($A236,[1]Hugst!$R$5:$W$9,MATCH(ROUNDUP((H$1)/10,0)*10,[1]Hugst!$R$4:$W$4,0))))</f>
        <v>649.14526904128661</v>
      </c>
      <c r="I236">
        <f ca="1">IF($C236-I$1&lt;År1,0,H235*(1-VLOOKUP($A236,[1]Hugst!$R$5:$W$9,MATCH(ROUNDUP((I$1)/10,0)*10,[1]Hugst!$R$4:$W$4,0))))</f>
        <v>648.41035459137856</v>
      </c>
      <c r="J236">
        <f ca="1">IF($C236-J$1&lt;År1,0,I235*(1-VLOOKUP($A236,[1]Hugst!$R$5:$W$9,MATCH(ROUNDUP((J$1)/10,0)*10,[1]Hugst!$R$4:$W$4,0))))</f>
        <v>647.67450735188686</v>
      </c>
      <c r="K236">
        <f ca="1">IF($C236-K$1&lt;År1,0,J235*(1-VLOOKUP($A236,[1]Hugst!$R$5:$W$9,MATCH(ROUNDUP((K$1)/10,0)*10,[1]Hugst!$R$4:$W$4,0))))</f>
        <v>646.93772870783687</v>
      </c>
      <c r="L236">
        <f ca="1">IF($C236-L$1&lt;År1,0,K235*(1-VLOOKUP($A236,[1]Hugst!$R$5:$W$9,MATCH(ROUNDUP((L$1)/10,0)*10,[1]Hugst!$R$4:$W$4,0))))</f>
        <v>646.20002006455798</v>
      </c>
      <c r="M236">
        <f ca="1">IF($C236-M$1&lt;År1,0,L235*(1-VLOOKUP($A236,[1]Hugst!$R$5:$W$9,MATCH(ROUNDUP((M$1)/10,0)*10,[1]Hugst!$R$4:$W$4,0))))</f>
        <v>948.87047375697375</v>
      </c>
      <c r="N236">
        <f ca="1">IF($C236-N$1&lt;År1,0,M235*(1-VLOOKUP($A236,[1]Hugst!$R$5:$W$9,MATCH(ROUNDUP((N$1)/10,0)*10,[1]Hugst!$R$4:$W$4,0))))</f>
        <v>948.13090941323208</v>
      </c>
      <c r="O236">
        <f ca="1">IF($C236-O$1&lt;År1,0,N235*(1-VLOOKUP($A236,[1]Hugst!$R$5:$W$9,MATCH(ROUNDUP((O$1)/10,0)*10,[1]Hugst!$R$4:$W$4,0))))</f>
        <v>949.50723345931829</v>
      </c>
      <c r="P236">
        <f ca="1">IF($C236-P$1&lt;År1,0,O235*(1-VLOOKUP($A236,[1]Hugst!$R$5:$W$9,MATCH(ROUNDUP((P$1)/10,0)*10,[1]Hugst!$R$4:$W$4,0))))</f>
        <v>948.80315315459427</v>
      </c>
      <c r="Q236">
        <f ca="1">IF($C236-Q$1&lt;År1,0,P235*(1-VLOOKUP($A236,[1]Hugst!$R$5:$W$9,MATCH(ROUNDUP((Q$1)/10,0)*10,[1]Hugst!$R$4:$W$4,0))))</f>
        <v>948.1045091493362</v>
      </c>
      <c r="R236">
        <f ca="1">IF($C236-R$1&lt;År1,0,Q235*(1-VLOOKUP($A236,[1]Hugst!$R$5:$W$9,MATCH(ROUNDUP((R$1)/10,0)*10,[1]Hugst!$R$4:$W$4,0))))</f>
        <v>947.4113004780977</v>
      </c>
      <c r="S236">
        <f ca="1">IF($C236-S$1&lt;År1,0,R235*(1-VLOOKUP($A236,[1]Hugst!$R$5:$W$9,MATCH(ROUNDUP((S$1)/10,0)*10,[1]Hugst!$R$4:$W$4,0))))</f>
        <v>946.72352620855872</v>
      </c>
      <c r="T236">
        <f ca="1">IF($C236-T$1&lt;År1,0,S235*(1-VLOOKUP($A236,[1]Hugst!$R$5:$W$9,MATCH(ROUNDUP((T$1)/10,0)*10,[1]Hugst!$R$4:$W$4,0))))</f>
        <v>946.04118544137839</v>
      </c>
      <c r="U236">
        <f ca="1">IF($C236-U$1&lt;År1,0,T235*(1-VLOOKUP($A236,[1]Hugst!$R$5:$W$9,MATCH(ROUNDUP((U$1)/10,0)*10,[1]Hugst!$R$4:$W$4,0))))</f>
        <v>945.3642773103395</v>
      </c>
      <c r="V236">
        <f ca="1">IF($C236-V$1&lt;År1,0,U235*(1-VLOOKUP($A236,[1]Hugst!$R$5:$W$9,MATCH(ROUNDUP((V$1)/10,0)*10,[1]Hugst!$R$4:$W$4,0))))</f>
        <v>944.69280098225784</v>
      </c>
      <c r="W236">
        <f ca="1">IF($C236-W$1&lt;År1,0,V235*(1-VLOOKUP($A236,[1]Hugst!$R$5:$W$9,MATCH(ROUNDUP((W$1)/10,0)*10,[1]Hugst!$R$4:$W$4,0))))</f>
        <v>944.02675565707705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55000000000000004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18.703920165020463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651.34440210527418</v>
      </c>
      <c r="G237">
        <f ca="1">IF($C237-G$1&lt;År1,0,F236*(1-VLOOKUP($A237,[1]Hugst!$R$5:$W$9,MATCH(ROUNDUP((G$1)/10,0)*10,[1]Hugst!$R$4:$W$4,0))))</f>
        <v>650.6122941330409</v>
      </c>
      <c r="H237">
        <f ca="1">IF($C237-H$1&lt;År1,0,G236*(1-VLOOKUP($A237,[1]Hugst!$R$5:$W$9,MATCH(ROUNDUP((H$1)/10,0)*10,[1]Hugst!$R$4:$W$4,0))))</f>
        <v>649.87924933676322</v>
      </c>
      <c r="I237">
        <f ca="1">IF($C237-I$1&lt;År1,0,H236*(1-VLOOKUP($A237,[1]Hugst!$R$5:$W$9,MATCH(ROUNDUP((I$1)/10,0)*10,[1]Hugst!$R$4:$W$4,0))))</f>
        <v>649.14526904128661</v>
      </c>
      <c r="J237">
        <f ca="1">IF($C237-J$1&lt;År1,0,I236*(1-VLOOKUP($A237,[1]Hugst!$R$5:$W$9,MATCH(ROUNDUP((J$1)/10,0)*10,[1]Hugst!$R$4:$W$4,0))))</f>
        <v>648.41035459137856</v>
      </c>
      <c r="K237">
        <f ca="1">IF($C237-K$1&lt;År1,0,J236*(1-VLOOKUP($A237,[1]Hugst!$R$5:$W$9,MATCH(ROUNDUP((K$1)/10,0)*10,[1]Hugst!$R$4:$W$4,0))))</f>
        <v>647.67450735188686</v>
      </c>
      <c r="L237">
        <f ca="1">IF($C237-L$1&lt;År1,0,K236*(1-VLOOKUP($A237,[1]Hugst!$R$5:$W$9,MATCH(ROUNDUP((L$1)/10,0)*10,[1]Hugst!$R$4:$W$4,0))))</f>
        <v>646.93772870783687</v>
      </c>
      <c r="M237">
        <f ca="1">IF($C237-M$1&lt;År1,0,L236*(1-VLOOKUP($A237,[1]Hugst!$R$5:$W$9,MATCH(ROUNDUP((M$1)/10,0)*10,[1]Hugst!$R$4:$W$4,0))))</f>
        <v>646.20002006455798</v>
      </c>
      <c r="N237">
        <f ca="1">IF($C237-N$1&lt;År1,0,M236*(1-VLOOKUP($A237,[1]Hugst!$R$5:$W$9,MATCH(ROUNDUP((N$1)/10,0)*10,[1]Hugst!$R$4:$W$4,0))))</f>
        <v>948.87047375697375</v>
      </c>
      <c r="O237">
        <f ca="1">IF($C237-O$1&lt;År1,0,N236*(1-VLOOKUP($A237,[1]Hugst!$R$5:$W$9,MATCH(ROUNDUP((O$1)/10,0)*10,[1]Hugst!$R$4:$W$4,0))))</f>
        <v>948.13090941323208</v>
      </c>
      <c r="P237">
        <f ca="1">IF($C237-P$1&lt;År1,0,O236*(1-VLOOKUP($A237,[1]Hugst!$R$5:$W$9,MATCH(ROUNDUP((P$1)/10,0)*10,[1]Hugst!$R$4:$W$4,0))))</f>
        <v>947.42294928831006</v>
      </c>
      <c r="Q237">
        <f ca="1">IF($C237-Q$1&lt;År1,0,P236*(1-VLOOKUP($A237,[1]Hugst!$R$5:$W$9,MATCH(ROUNDUP((Q$1)/10,0)*10,[1]Hugst!$R$4:$W$4,0))))</f>
        <v>946.7204145257183</v>
      </c>
      <c r="R237">
        <f ca="1">IF($C237-R$1&lt;År1,0,Q236*(1-VLOOKUP($A237,[1]Hugst!$R$5:$W$9,MATCH(ROUNDUP((R$1)/10,0)*10,[1]Hugst!$R$4:$W$4,0))))</f>
        <v>946.02330412925232</v>
      </c>
      <c r="S237">
        <f ca="1">IF($C237-S$1&lt;År1,0,R236*(1-VLOOKUP($A237,[1]Hugst!$R$5:$W$9,MATCH(ROUNDUP((S$1)/10,0)*10,[1]Hugst!$R$4:$W$4,0))))</f>
        <v>945.33161713558479</v>
      </c>
      <c r="T237">
        <f ca="1">IF($C237-T$1&lt;År1,0,S236*(1-VLOOKUP($A237,[1]Hugst!$R$5:$W$9,MATCH(ROUNDUP((T$1)/10,0)*10,[1]Hugst!$R$4:$W$4,0))))</f>
        <v>944.64535261444234</v>
      </c>
      <c r="U237">
        <f ca="1">IF($C237-U$1&lt;År1,0,T236*(1-VLOOKUP($A237,[1]Hugst!$R$5:$W$9,MATCH(ROUNDUP((U$1)/10,0)*10,[1]Hugst!$R$4:$W$4,0))))</f>
        <v>943.96450966845828</v>
      </c>
      <c r="V237">
        <f ca="1">IF($C237-V$1&lt;År1,0,U236*(1-VLOOKUP($A237,[1]Hugst!$R$5:$W$9,MATCH(ROUNDUP((V$1)/10,0)*10,[1]Hugst!$R$4:$W$4,0))))</f>
        <v>943.28908743331681</v>
      </c>
      <c r="W237">
        <f ca="1">IF($C237-W$1&lt;År1,0,V236*(1-VLOOKUP($A237,[1]Hugst!$R$5:$W$9,MATCH(ROUNDUP((W$1)/10,0)*10,[1]Hugst!$R$4:$W$4,0))))</f>
        <v>942.61908507766259</v>
      </c>
      <c r="X237">
        <f ca="1">IF($C237-X$1&lt;År1,0,W236*(1-VLOOKUP($A237,[1]Hugst!$R$5:$W$9,MATCH(ROUNDUP((X$1)/10,0)*10,[1]Hugst!$R$4:$W$4,0))))</f>
        <v>941.95450180319563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55000000000000004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20.744125751167303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652.07557194837727</v>
      </c>
      <c r="G238">
        <f ca="1">IF($C238-G$1&lt;År1,0,F237*(1-VLOOKUP($A238,[1]Hugst!$R$5:$W$9,MATCH(ROUNDUP((G$1)/10,0)*10,[1]Hugst!$R$4:$W$4,0))))</f>
        <v>651.34440210527418</v>
      </c>
      <c r="H238">
        <f ca="1">IF($C238-H$1&lt;År1,0,G237*(1-VLOOKUP($A238,[1]Hugst!$R$5:$W$9,MATCH(ROUNDUP((H$1)/10,0)*10,[1]Hugst!$R$4:$W$4,0))))</f>
        <v>650.6122941330409</v>
      </c>
      <c r="I238">
        <f ca="1">IF($C238-I$1&lt;År1,0,H237*(1-VLOOKUP($A238,[1]Hugst!$R$5:$W$9,MATCH(ROUNDUP((I$1)/10,0)*10,[1]Hugst!$R$4:$W$4,0))))</f>
        <v>649.87924933676322</v>
      </c>
      <c r="J238">
        <f ca="1">IF($C238-J$1&lt;År1,0,I237*(1-VLOOKUP($A238,[1]Hugst!$R$5:$W$9,MATCH(ROUNDUP((J$1)/10,0)*10,[1]Hugst!$R$4:$W$4,0))))</f>
        <v>649.14526904128661</v>
      </c>
      <c r="K238">
        <f ca="1">IF($C238-K$1&lt;År1,0,J237*(1-VLOOKUP($A238,[1]Hugst!$R$5:$W$9,MATCH(ROUNDUP((K$1)/10,0)*10,[1]Hugst!$R$4:$W$4,0))))</f>
        <v>648.41035459137856</v>
      </c>
      <c r="L238">
        <f ca="1">IF($C238-L$1&lt;År1,0,K237*(1-VLOOKUP($A238,[1]Hugst!$R$5:$W$9,MATCH(ROUNDUP((L$1)/10,0)*10,[1]Hugst!$R$4:$W$4,0))))</f>
        <v>647.67450735188686</v>
      </c>
      <c r="M238">
        <f ca="1">IF($C238-M$1&lt;År1,0,L237*(1-VLOOKUP($A238,[1]Hugst!$R$5:$W$9,MATCH(ROUNDUP((M$1)/10,0)*10,[1]Hugst!$R$4:$W$4,0))))</f>
        <v>646.93772870783687</v>
      </c>
      <c r="N238">
        <f ca="1">IF($C238-N$1&lt;År1,0,M237*(1-VLOOKUP($A238,[1]Hugst!$R$5:$W$9,MATCH(ROUNDUP((N$1)/10,0)*10,[1]Hugst!$R$4:$W$4,0))))</f>
        <v>646.20002006455798</v>
      </c>
      <c r="O238">
        <f ca="1">IF($C238-O$1&lt;År1,0,N237*(1-VLOOKUP($A238,[1]Hugst!$R$5:$W$9,MATCH(ROUNDUP((O$1)/10,0)*10,[1]Hugst!$R$4:$W$4,0))))</f>
        <v>948.87047375697375</v>
      </c>
      <c r="P238">
        <f ca="1">IF($C238-P$1&lt;År1,0,O237*(1-VLOOKUP($A238,[1]Hugst!$R$5:$W$9,MATCH(ROUNDUP((P$1)/10,0)*10,[1]Hugst!$R$4:$W$4,0))))</f>
        <v>946.04964644134941</v>
      </c>
      <c r="Q238">
        <f ca="1">IF($C238-Q$1&lt;År1,0,P237*(1-VLOOKUP($A238,[1]Hugst!$R$5:$W$9,MATCH(ROUNDUP((Q$1)/10,0)*10,[1]Hugst!$R$4:$W$4,0))))</f>
        <v>945.34324037523811</v>
      </c>
      <c r="R238">
        <f ca="1">IF($C238-R$1&lt;År1,0,Q237*(1-VLOOKUP($A238,[1]Hugst!$R$5:$W$9,MATCH(ROUNDUP((R$1)/10,0)*10,[1]Hugst!$R$4:$W$4,0))))</f>
        <v>944.64224776212529</v>
      </c>
      <c r="S238">
        <f ca="1">IF($C238-S$1&lt;År1,0,R237*(1-VLOOKUP($A238,[1]Hugst!$R$5:$W$9,MATCH(ROUNDUP((S$1)/10,0)*10,[1]Hugst!$R$4:$W$4,0))))</f>
        <v>943.94666760799294</v>
      </c>
      <c r="T238">
        <f ca="1">IF($C238-T$1&lt;År1,0,S237*(1-VLOOKUP($A238,[1]Hugst!$R$5:$W$9,MATCH(ROUNDUP((T$1)/10,0)*10,[1]Hugst!$R$4:$W$4,0))))</f>
        <v>943.2564989516286</v>
      </c>
      <c r="U238">
        <f ca="1">IF($C238-U$1&lt;År1,0,T237*(1-VLOOKUP($A238,[1]Hugst!$R$5:$W$9,MATCH(ROUNDUP((U$1)/10,0)*10,[1]Hugst!$R$4:$W$4,0))))</f>
        <v>942.57174086480086</v>
      </c>
      <c r="V238">
        <f ca="1">IF($C238-V$1&lt;År1,0,U237*(1-VLOOKUP($A238,[1]Hugst!$R$5:$W$9,MATCH(ROUNDUP((V$1)/10,0)*10,[1]Hugst!$R$4:$W$4,0))))</f>
        <v>941.89239245211286</v>
      </c>
      <c r="W238">
        <f ca="1">IF($C238-W$1&lt;År1,0,V237*(1-VLOOKUP($A238,[1]Hugst!$R$5:$W$9,MATCH(ROUNDUP((W$1)/10,0)*10,[1]Hugst!$R$4:$W$4,0))))</f>
        <v>941.21845285114614</v>
      </c>
      <c r="X238">
        <f ca="1">IF($C238-X$1&lt;År1,0,W237*(1-VLOOKUP($A238,[1]Hugst!$R$5:$W$9,MATCH(ROUNDUP((X$1)/10,0)*10,[1]Hugst!$R$4:$W$4,0))))</f>
        <v>940.54992123237014</v>
      </c>
      <c r="Y238">
        <f ca="1">IF($C238-Y$1&lt;År1,0,X237*(1-VLOOKUP($A238,[1]Hugst!$R$5:$W$9,MATCH(ROUNDUP((Y$1)/10,0)*10,[1]Hugst!$R$4:$W$4,0))))</f>
        <v>939.88679679923735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55000000000000004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21.864513542604982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651.89346917549801</v>
      </c>
      <c r="G239">
        <f ca="1">IF($C239-G$1&lt;År1,0,F238*(1-VLOOKUP($A239,[1]Hugst!$R$5:$W$9,MATCH(ROUNDUP((G$1)/10,0)*10,[1]Hugst!$R$4:$W$4,0))))</f>
        <v>652.07557194837727</v>
      </c>
      <c r="H239">
        <f ca="1">IF($C239-H$1&lt;År1,0,G238*(1-VLOOKUP($A239,[1]Hugst!$R$5:$W$9,MATCH(ROUNDUP((H$1)/10,0)*10,[1]Hugst!$R$4:$W$4,0))))</f>
        <v>651.34440210527418</v>
      </c>
      <c r="I239">
        <f ca="1">IF($C239-I$1&lt;År1,0,H238*(1-VLOOKUP($A239,[1]Hugst!$R$5:$W$9,MATCH(ROUNDUP((I$1)/10,0)*10,[1]Hugst!$R$4:$W$4,0))))</f>
        <v>650.6122941330409</v>
      </c>
      <c r="J239">
        <f ca="1">IF($C239-J$1&lt;År1,0,I238*(1-VLOOKUP($A239,[1]Hugst!$R$5:$W$9,MATCH(ROUNDUP((J$1)/10,0)*10,[1]Hugst!$R$4:$W$4,0))))</f>
        <v>649.87924933676322</v>
      </c>
      <c r="K239">
        <f ca="1">IF($C239-K$1&lt;År1,0,J238*(1-VLOOKUP($A239,[1]Hugst!$R$5:$W$9,MATCH(ROUNDUP((K$1)/10,0)*10,[1]Hugst!$R$4:$W$4,0))))</f>
        <v>649.14526904128661</v>
      </c>
      <c r="L239">
        <f ca="1">IF($C239-L$1&lt;År1,0,K238*(1-VLOOKUP($A239,[1]Hugst!$R$5:$W$9,MATCH(ROUNDUP((L$1)/10,0)*10,[1]Hugst!$R$4:$W$4,0))))</f>
        <v>648.41035459137856</v>
      </c>
      <c r="M239">
        <f ca="1">IF($C239-M$1&lt;År1,0,L238*(1-VLOOKUP($A239,[1]Hugst!$R$5:$W$9,MATCH(ROUNDUP((M$1)/10,0)*10,[1]Hugst!$R$4:$W$4,0))))</f>
        <v>647.67450735188686</v>
      </c>
      <c r="N239">
        <f ca="1">IF($C239-N$1&lt;År1,0,M238*(1-VLOOKUP($A239,[1]Hugst!$R$5:$W$9,MATCH(ROUNDUP((N$1)/10,0)*10,[1]Hugst!$R$4:$W$4,0))))</f>
        <v>646.93772870783687</v>
      </c>
      <c r="O239">
        <f ca="1">IF($C239-O$1&lt;År1,0,N238*(1-VLOOKUP($A239,[1]Hugst!$R$5:$W$9,MATCH(ROUNDUP((O$1)/10,0)*10,[1]Hugst!$R$4:$W$4,0))))</f>
        <v>646.20002006455798</v>
      </c>
      <c r="P239">
        <f ca="1">IF($C239-P$1&lt;År1,0,O238*(1-VLOOKUP($A239,[1]Hugst!$R$5:$W$9,MATCH(ROUNDUP((P$1)/10,0)*10,[1]Hugst!$R$4:$W$4,0))))</f>
        <v>946.78758735116571</v>
      </c>
      <c r="Q239">
        <f ca="1">IF($C239-Q$1&lt;År1,0,P238*(1-VLOOKUP($A239,[1]Hugst!$R$5:$W$9,MATCH(ROUNDUP((Q$1)/10,0)*10,[1]Hugst!$R$4:$W$4,0))))</f>
        <v>943.97295209550259</v>
      </c>
      <c r="R239">
        <f ca="1">IF($C239-R$1&lt;År1,0,Q238*(1-VLOOKUP($A239,[1]Hugst!$R$5:$W$9,MATCH(ROUNDUP((R$1)/10,0)*10,[1]Hugst!$R$4:$W$4,0))))</f>
        <v>943.26809667685347</v>
      </c>
      <c r="S239">
        <f ca="1">IF($C239-S$1&lt;År1,0,R238*(1-VLOOKUP($A239,[1]Hugst!$R$5:$W$9,MATCH(ROUNDUP((S$1)/10,0)*10,[1]Hugst!$R$4:$W$4,0))))</f>
        <v>942.56864282801325</v>
      </c>
      <c r="T239">
        <f ca="1">IF($C239-T$1&lt;År1,0,S238*(1-VLOOKUP($A239,[1]Hugst!$R$5:$W$9,MATCH(ROUNDUP((T$1)/10,0)*10,[1]Hugst!$R$4:$W$4,0))))</f>
        <v>941.87458955714612</v>
      </c>
      <c r="U239">
        <f ca="1">IF($C239-U$1&lt;År1,0,T238*(1-VLOOKUP($A239,[1]Hugst!$R$5:$W$9,MATCH(ROUNDUP((U$1)/10,0)*10,[1]Hugst!$R$4:$W$4,0))))</f>
        <v>941.18593590514945</v>
      </c>
      <c r="V239">
        <f ca="1">IF($C239-V$1&lt;År1,0,U238*(1-VLOOKUP($A239,[1]Hugst!$R$5:$W$9,MATCH(ROUNDUP((V$1)/10,0)*10,[1]Hugst!$R$4:$W$4,0))))</f>
        <v>940.5026809458293</v>
      </c>
      <c r="W239">
        <f ca="1">IF($C239-W$1&lt;År1,0,V238*(1-VLOOKUP($A239,[1]Hugst!$R$5:$W$9,MATCH(ROUNDUP((W$1)/10,0)*10,[1]Hugst!$R$4:$W$4,0))))</f>
        <v>939.82482378575457</v>
      </c>
      <c r="X239">
        <f ca="1">IF($C239-X$1&lt;År1,0,W238*(1-VLOOKUP($A239,[1]Hugst!$R$5:$W$9,MATCH(ROUNDUP((X$1)/10,0)*10,[1]Hugst!$R$4:$W$4,0))))</f>
        <v>939.15236356439971</v>
      </c>
      <c r="Y239">
        <f ca="1">IF($C239-Y$1&lt;År1,0,X238*(1-VLOOKUP($A239,[1]Hugst!$R$5:$W$9,MATCH(ROUNDUP((Y$1)/10,0)*10,[1]Hugst!$R$4:$W$4,0))))</f>
        <v>938.48529945405517</v>
      </c>
      <c r="Z239">
        <f ca="1">IF($C239-Z$1&lt;År1,0,Y238*(1-VLOOKUP($A239,[1]Hugst!$R$5:$W$9,MATCH(ROUNDUP((Z$1)/10,0)*10,[1]Hugst!$R$4:$W$4,0))))</f>
        <v>938.74059338850657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55000000000000004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22.320528951015149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651.05350647241403</v>
      </c>
      <c r="G240">
        <f ca="1">IF($C240-G$1&lt;År1,0,F239*(1-VLOOKUP($A240,[1]Hugst!$R$5:$W$9,MATCH(ROUNDUP((G$1)/10,0)*10,[1]Hugst!$R$4:$W$4,0))))</f>
        <v>651.89346917549801</v>
      </c>
      <c r="H240">
        <f ca="1">IF($C240-H$1&lt;År1,0,G239*(1-VLOOKUP($A240,[1]Hugst!$R$5:$W$9,MATCH(ROUNDUP((H$1)/10,0)*10,[1]Hugst!$R$4:$W$4,0))))</f>
        <v>652.07557194837727</v>
      </c>
      <c r="I240">
        <f ca="1">IF($C240-I$1&lt;År1,0,H239*(1-VLOOKUP($A240,[1]Hugst!$R$5:$W$9,MATCH(ROUNDUP((I$1)/10,0)*10,[1]Hugst!$R$4:$W$4,0))))</f>
        <v>651.34440210527418</v>
      </c>
      <c r="J240">
        <f ca="1">IF($C240-J$1&lt;År1,0,I239*(1-VLOOKUP($A240,[1]Hugst!$R$5:$W$9,MATCH(ROUNDUP((J$1)/10,0)*10,[1]Hugst!$R$4:$W$4,0))))</f>
        <v>650.6122941330409</v>
      </c>
      <c r="K240">
        <f ca="1">IF($C240-K$1&lt;År1,0,J239*(1-VLOOKUP($A240,[1]Hugst!$R$5:$W$9,MATCH(ROUNDUP((K$1)/10,0)*10,[1]Hugst!$R$4:$W$4,0))))</f>
        <v>649.87924933676322</v>
      </c>
      <c r="L240">
        <f ca="1">IF($C240-L$1&lt;År1,0,K239*(1-VLOOKUP($A240,[1]Hugst!$R$5:$W$9,MATCH(ROUNDUP((L$1)/10,0)*10,[1]Hugst!$R$4:$W$4,0))))</f>
        <v>649.14526904128661</v>
      </c>
      <c r="M240">
        <f ca="1">IF($C240-M$1&lt;År1,0,L239*(1-VLOOKUP($A240,[1]Hugst!$R$5:$W$9,MATCH(ROUNDUP((M$1)/10,0)*10,[1]Hugst!$R$4:$W$4,0))))</f>
        <v>648.41035459137856</v>
      </c>
      <c r="N240">
        <f ca="1">IF($C240-N$1&lt;År1,0,M239*(1-VLOOKUP($A240,[1]Hugst!$R$5:$W$9,MATCH(ROUNDUP((N$1)/10,0)*10,[1]Hugst!$R$4:$W$4,0))))</f>
        <v>647.67450735188686</v>
      </c>
      <c r="O240">
        <f ca="1">IF($C240-O$1&lt;År1,0,N239*(1-VLOOKUP($A240,[1]Hugst!$R$5:$W$9,MATCH(ROUNDUP((O$1)/10,0)*10,[1]Hugst!$R$4:$W$4,0))))</f>
        <v>646.93772870783687</v>
      </c>
      <c r="P240">
        <f ca="1">IF($C240-P$1&lt;År1,0,O239*(1-VLOOKUP($A240,[1]Hugst!$R$5:$W$9,MATCH(ROUNDUP((P$1)/10,0)*10,[1]Hugst!$R$4:$W$4,0))))</f>
        <v>644.78153221563582</v>
      </c>
      <c r="Q240">
        <f ca="1">IF($C240-Q$1&lt;År1,0,P239*(1-VLOOKUP($A240,[1]Hugst!$R$5:$W$9,MATCH(ROUNDUP((Q$1)/10,0)*10,[1]Hugst!$R$4:$W$4,0))))</f>
        <v>944.70927313502898</v>
      </c>
      <c r="R240">
        <f ca="1">IF($C240-R$1&lt;År1,0,Q239*(1-VLOOKUP($A240,[1]Hugst!$R$5:$W$9,MATCH(ROUNDUP((R$1)/10,0)*10,[1]Hugst!$R$4:$W$4,0))))</f>
        <v>941.90081634700027</v>
      </c>
      <c r="S240">
        <f ca="1">IF($C240-S$1&lt;År1,0,R239*(1-VLOOKUP($A240,[1]Hugst!$R$5:$W$9,MATCH(ROUNDUP((S$1)/10,0)*10,[1]Hugst!$R$4:$W$4,0))))</f>
        <v>941.19750817195302</v>
      </c>
      <c r="T240">
        <f ca="1">IF($C240-T$1&lt;År1,0,S239*(1-VLOOKUP($A240,[1]Hugst!$R$5:$W$9,MATCH(ROUNDUP((T$1)/10,0)*10,[1]Hugst!$R$4:$W$4,0))))</f>
        <v>940.49958970961029</v>
      </c>
      <c r="U240">
        <f ca="1">IF($C240-U$1&lt;År1,0,T239*(1-VLOOKUP($A240,[1]Hugst!$R$5:$W$9,MATCH(ROUNDUP((U$1)/10,0)*10,[1]Hugst!$R$4:$W$4,0))))</f>
        <v>939.80705997031339</v>
      </c>
      <c r="V240">
        <f ca="1">IF($C240-V$1&lt;År1,0,U239*(1-VLOOKUP($A240,[1]Hugst!$R$5:$W$9,MATCH(ROUNDUP((V$1)/10,0)*10,[1]Hugst!$R$4:$W$4,0))))</f>
        <v>939.11991799706493</v>
      </c>
      <c r="W240">
        <f ca="1">IF($C240-W$1&lt;År1,0,V239*(1-VLOOKUP($A240,[1]Hugst!$R$5:$W$9,MATCH(ROUNDUP((W$1)/10,0)*10,[1]Hugst!$R$4:$W$4,0))))</f>
        <v>938.43816286570427</v>
      </c>
      <c r="X240">
        <f ca="1">IF($C240-X$1&lt;År1,0,W239*(1-VLOOKUP($A240,[1]Hugst!$R$5:$W$9,MATCH(ROUNDUP((X$1)/10,0)*10,[1]Hugst!$R$4:$W$4,0))))</f>
        <v>937.76179368476141</v>
      </c>
      <c r="Y240">
        <f ca="1">IF($C240-Y$1&lt;År1,0,X239*(1-VLOOKUP($A240,[1]Hugst!$R$5:$W$9,MATCH(ROUNDUP((Y$1)/10,0)*10,[1]Hugst!$R$4:$W$4,0))))</f>
        <v>937.09080959559981</v>
      </c>
      <c r="Z240">
        <f ca="1">IF($C240-Z$1&lt;År1,0,Y239*(1-VLOOKUP($A240,[1]Hugst!$R$5:$W$9,MATCH(ROUNDUP((Z$1)/10,0)*10,[1]Hugst!$R$4:$W$4,0))))</f>
        <v>937.34080518642827</v>
      </c>
      <c r="AA240">
        <f ca="1">IF($C240-AA$1&lt;År1,0,Z239*(1-VLOOKUP($A240,[1]Hugst!$R$5:$W$9,MATCH(ROUNDUP((AA$1)/10,0)*10,[1]Hugst!$R$4:$W$4,0))))</f>
        <v>937.59578778681328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55000000000000004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22.779638404412253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650.2231177048684</v>
      </c>
      <c r="G241">
        <f ca="1">IF($C241-G$1&lt;År1,0,F240*(1-VLOOKUP($A241,[1]Hugst!$R$5:$W$9,MATCH(ROUNDUP((G$1)/10,0)*10,[1]Hugst!$R$4:$W$4,0))))</f>
        <v>651.05350647241403</v>
      </c>
      <c r="H241">
        <f ca="1">IF($C241-H$1&lt;År1,0,G240*(1-VLOOKUP($A241,[1]Hugst!$R$5:$W$9,MATCH(ROUNDUP((H$1)/10,0)*10,[1]Hugst!$R$4:$W$4,0))))</f>
        <v>651.89346917549801</v>
      </c>
      <c r="I241">
        <f ca="1">IF($C241-I$1&lt;År1,0,H240*(1-VLOOKUP($A241,[1]Hugst!$R$5:$W$9,MATCH(ROUNDUP((I$1)/10,0)*10,[1]Hugst!$R$4:$W$4,0))))</f>
        <v>652.07557194837727</v>
      </c>
      <c r="J241">
        <f ca="1">IF($C241-J$1&lt;År1,0,I240*(1-VLOOKUP($A241,[1]Hugst!$R$5:$W$9,MATCH(ROUNDUP((J$1)/10,0)*10,[1]Hugst!$R$4:$W$4,0))))</f>
        <v>651.34440210527418</v>
      </c>
      <c r="K241">
        <f ca="1">IF($C241-K$1&lt;År1,0,J240*(1-VLOOKUP($A241,[1]Hugst!$R$5:$W$9,MATCH(ROUNDUP((K$1)/10,0)*10,[1]Hugst!$R$4:$W$4,0))))</f>
        <v>650.6122941330409</v>
      </c>
      <c r="L241">
        <f ca="1">IF($C241-L$1&lt;År1,0,K240*(1-VLOOKUP($A241,[1]Hugst!$R$5:$W$9,MATCH(ROUNDUP((L$1)/10,0)*10,[1]Hugst!$R$4:$W$4,0))))</f>
        <v>649.87924933676322</v>
      </c>
      <c r="M241">
        <f ca="1">IF($C241-M$1&lt;År1,0,L240*(1-VLOOKUP($A241,[1]Hugst!$R$5:$W$9,MATCH(ROUNDUP((M$1)/10,0)*10,[1]Hugst!$R$4:$W$4,0))))</f>
        <v>649.14526904128661</v>
      </c>
      <c r="N241">
        <f ca="1">IF($C241-N$1&lt;År1,0,M240*(1-VLOOKUP($A241,[1]Hugst!$R$5:$W$9,MATCH(ROUNDUP((N$1)/10,0)*10,[1]Hugst!$R$4:$W$4,0))))</f>
        <v>648.41035459137856</v>
      </c>
      <c r="O241">
        <f ca="1">IF($C241-O$1&lt;År1,0,N240*(1-VLOOKUP($A241,[1]Hugst!$R$5:$W$9,MATCH(ROUNDUP((O$1)/10,0)*10,[1]Hugst!$R$4:$W$4,0))))</f>
        <v>647.67450735188686</v>
      </c>
      <c r="P241">
        <f ca="1">IF($C241-P$1&lt;År1,0,O240*(1-VLOOKUP($A241,[1]Hugst!$R$5:$W$9,MATCH(ROUNDUP((P$1)/10,0)*10,[1]Hugst!$R$4:$W$4,0))))</f>
        <v>645.51762149847821</v>
      </c>
      <c r="Q241">
        <f ca="1">IF($C241-Q$1&lt;År1,0,P240*(1-VLOOKUP($A241,[1]Hugst!$R$5:$W$9,MATCH(ROUNDUP((Q$1)/10,0)*10,[1]Hugst!$R$4:$W$4,0))))</f>
        <v>643.36615812052833</v>
      </c>
      <c r="R241">
        <f ca="1">IF($C241-R$1&lt;År1,0,Q240*(1-VLOOKUP($A241,[1]Hugst!$R$5:$W$9,MATCH(ROUNDUP((R$1)/10,0)*10,[1]Hugst!$R$4:$W$4,0))))</f>
        <v>942.63552107204964</v>
      </c>
      <c r="S241">
        <f ca="1">IF($C241-S$1&lt;År1,0,R240*(1-VLOOKUP($A241,[1]Hugst!$R$5:$W$9,MATCH(ROUNDUP((S$1)/10,0)*10,[1]Hugst!$R$4:$W$4,0))))</f>
        <v>939.83322918916542</v>
      </c>
      <c r="T241">
        <f ca="1">IF($C241-T$1&lt;År1,0,S240*(1-VLOOKUP($A241,[1]Hugst!$R$5:$W$9,MATCH(ROUNDUP((T$1)/10,0)*10,[1]Hugst!$R$4:$W$4,0))))</f>
        <v>939.13146486133166</v>
      </c>
      <c r="U241">
        <f ca="1">IF($C241-U$1&lt;År1,0,T240*(1-VLOOKUP($A241,[1]Hugst!$R$5:$W$9,MATCH(ROUNDUP((U$1)/10,0)*10,[1]Hugst!$R$4:$W$4,0))))</f>
        <v>938.43507841512576</v>
      </c>
      <c r="V241">
        <f ca="1">IF($C241-V$1&lt;År1,0,U240*(1-VLOOKUP($A241,[1]Hugst!$R$5:$W$9,MATCH(ROUNDUP((V$1)/10,0)*10,[1]Hugst!$R$4:$W$4,0))))</f>
        <v>937.74406886306144</v>
      </c>
      <c r="W241">
        <f ca="1">IF($C241-W$1&lt;År1,0,V240*(1-VLOOKUP($A241,[1]Hugst!$R$5:$W$9,MATCH(ROUNDUP((W$1)/10,0)*10,[1]Hugst!$R$4:$W$4,0))))</f>
        <v>937.05843525024216</v>
      </c>
      <c r="X241">
        <f ca="1">IF($C241-X$1&lt;År1,0,W240*(1-VLOOKUP($A241,[1]Hugst!$R$5:$W$9,MATCH(ROUNDUP((X$1)/10,0)*10,[1]Hugst!$R$4:$W$4,0))))</f>
        <v>936.37817665453565</v>
      </c>
      <c r="Y241">
        <f ca="1">IF($C241-Y$1&lt;År1,0,X240*(1-VLOOKUP($A241,[1]Hugst!$R$5:$W$9,MATCH(ROUNDUP((Y$1)/10,0)*10,[1]Hugst!$R$4:$W$4,0))))</f>
        <v>935.70329218642905</v>
      </c>
      <c r="Z241">
        <f ca="1">IF($C241-Z$1&lt;År1,0,Y240*(1-VLOOKUP($A241,[1]Hugst!$R$5:$W$9,MATCH(ROUNDUP((Z$1)/10,0)*10,[1]Hugst!$R$4:$W$4,0))))</f>
        <v>935.94801592536123</v>
      </c>
      <c r="AA241">
        <f ca="1">IF($C241-AA$1&lt;År1,0,Z240*(1-VLOOKUP($A241,[1]Hugst!$R$5:$W$9,MATCH(ROUNDUP((AA$1)/10,0)*10,[1]Hugst!$R$4:$W$4,0))))</f>
        <v>936.19770664351802</v>
      </c>
      <c r="AB241">
        <f ca="1">IF($C241-AB$1&lt;År1,0,AA240*(1-VLOOKUP($A241,[1]Hugst!$R$5:$W$9,MATCH(ROUNDUP((AB$1)/10,0)*10,[1]Hugst!$R$4:$W$4,0))))</f>
        <v>936.45237828951224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55000000000000004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23.241823247986758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649.40225181860978</v>
      </c>
      <c r="G242">
        <f ca="1">IF($C242-G$1&lt;År1,0,F241*(1-VLOOKUP($A242,[1]Hugst!$R$5:$W$9,MATCH(ROUNDUP((G$1)/10,0)*10,[1]Hugst!$R$4:$W$4,0))))</f>
        <v>650.2231177048684</v>
      </c>
      <c r="H242">
        <f ca="1">IF($C242-H$1&lt;År1,0,G241*(1-VLOOKUP($A242,[1]Hugst!$R$5:$W$9,MATCH(ROUNDUP((H$1)/10,0)*10,[1]Hugst!$R$4:$W$4,0))))</f>
        <v>651.05350647241403</v>
      </c>
      <c r="I242">
        <f ca="1">IF($C242-I$1&lt;År1,0,H241*(1-VLOOKUP($A242,[1]Hugst!$R$5:$W$9,MATCH(ROUNDUP((I$1)/10,0)*10,[1]Hugst!$R$4:$W$4,0))))</f>
        <v>651.89346917549801</v>
      </c>
      <c r="J242">
        <f ca="1">IF($C242-J$1&lt;År1,0,I241*(1-VLOOKUP($A242,[1]Hugst!$R$5:$W$9,MATCH(ROUNDUP((J$1)/10,0)*10,[1]Hugst!$R$4:$W$4,0))))</f>
        <v>652.07557194837727</v>
      </c>
      <c r="K242">
        <f ca="1">IF($C242-K$1&lt;År1,0,J241*(1-VLOOKUP($A242,[1]Hugst!$R$5:$W$9,MATCH(ROUNDUP((K$1)/10,0)*10,[1]Hugst!$R$4:$W$4,0))))</f>
        <v>651.34440210527418</v>
      </c>
      <c r="L242">
        <f ca="1">IF($C242-L$1&lt;År1,0,K241*(1-VLOOKUP($A242,[1]Hugst!$R$5:$W$9,MATCH(ROUNDUP((L$1)/10,0)*10,[1]Hugst!$R$4:$W$4,0))))</f>
        <v>650.6122941330409</v>
      </c>
      <c r="M242">
        <f ca="1">IF($C242-M$1&lt;År1,0,L241*(1-VLOOKUP($A242,[1]Hugst!$R$5:$W$9,MATCH(ROUNDUP((M$1)/10,0)*10,[1]Hugst!$R$4:$W$4,0))))</f>
        <v>649.87924933676322</v>
      </c>
      <c r="N242">
        <f ca="1">IF($C242-N$1&lt;År1,0,M241*(1-VLOOKUP($A242,[1]Hugst!$R$5:$W$9,MATCH(ROUNDUP((N$1)/10,0)*10,[1]Hugst!$R$4:$W$4,0))))</f>
        <v>649.14526904128661</v>
      </c>
      <c r="O242">
        <f ca="1">IF($C242-O$1&lt;År1,0,N241*(1-VLOOKUP($A242,[1]Hugst!$R$5:$W$9,MATCH(ROUNDUP((O$1)/10,0)*10,[1]Hugst!$R$4:$W$4,0))))</f>
        <v>648.41035459137856</v>
      </c>
      <c r="P242">
        <f ca="1">IF($C242-P$1&lt;År1,0,O241*(1-VLOOKUP($A242,[1]Hugst!$R$5:$W$9,MATCH(ROUNDUP((P$1)/10,0)*10,[1]Hugst!$R$4:$W$4,0))))</f>
        <v>646.2527828235535</v>
      </c>
      <c r="Q242">
        <f ca="1">IF($C242-Q$1&lt;År1,0,P241*(1-VLOOKUP($A242,[1]Hugst!$R$5:$W$9,MATCH(ROUNDUP((Q$1)/10,0)*10,[1]Hugst!$R$4:$W$4,0))))</f>
        <v>644.10063159762785</v>
      </c>
      <c r="R242">
        <f ca="1">IF($C242-R$1&lt;År1,0,Q241*(1-VLOOKUP($A242,[1]Hugst!$R$5:$W$9,MATCH(ROUNDUP((R$1)/10,0)*10,[1]Hugst!$R$4:$W$4,0))))</f>
        <v>641.95389094416623</v>
      </c>
      <c r="S242">
        <f ca="1">IF($C242-S$1&lt;År1,0,R241*(1-VLOOKUP($A242,[1]Hugst!$R$5:$W$9,MATCH(ROUNDUP((S$1)/10,0)*10,[1]Hugst!$R$4:$W$4,0))))</f>
        <v>940.56632114774516</v>
      </c>
      <c r="T242">
        <f ca="1">IF($C242-T$1&lt;År1,0,S241*(1-VLOOKUP($A242,[1]Hugst!$R$5:$W$9,MATCH(ROUNDUP((T$1)/10,0)*10,[1]Hugst!$R$4:$W$4,0))))</f>
        <v>937.77018063728678</v>
      </c>
      <c r="U242">
        <f ca="1">IF($C242-U$1&lt;År1,0,T241*(1-VLOOKUP($A242,[1]Hugst!$R$5:$W$9,MATCH(ROUNDUP((U$1)/10,0)*10,[1]Hugst!$R$4:$W$4,0))))</f>
        <v>937.06995676773363</v>
      </c>
      <c r="V242">
        <f ca="1">IF($C242-V$1&lt;År1,0,U241*(1-VLOOKUP($A242,[1]Hugst!$R$5:$W$9,MATCH(ROUNDUP((V$1)/10,0)*10,[1]Hugst!$R$4:$W$4,0))))</f>
        <v>936.37509897470227</v>
      </c>
      <c r="W242">
        <f ca="1">IF($C242-W$1&lt;År1,0,V241*(1-VLOOKUP($A242,[1]Hugst!$R$5:$W$9,MATCH(ROUNDUP((W$1)/10,0)*10,[1]Hugst!$R$4:$W$4,0))))</f>
        <v>935.68560627287422</v>
      </c>
      <c r="X242">
        <f ca="1">IF($C242-X$1&lt;År1,0,W241*(1-VLOOKUP($A242,[1]Hugst!$R$5:$W$9,MATCH(ROUNDUP((X$1)/10,0)*10,[1]Hugst!$R$4:$W$4,0))))</f>
        <v>935.00147770944898</v>
      </c>
      <c r="Y242">
        <f ca="1">IF($C242-Y$1&lt;År1,0,X241*(1-VLOOKUP($A242,[1]Hugst!$R$5:$W$9,MATCH(ROUNDUP((Y$1)/10,0)*10,[1]Hugst!$R$4:$W$4,0))))</f>
        <v>934.32271236431836</v>
      </c>
      <c r="Z242">
        <f ca="1">IF($C242-Z$1&lt;År1,0,Y241*(1-VLOOKUP($A242,[1]Hugst!$R$5:$W$9,MATCH(ROUNDUP((Z$1)/10,0)*10,[1]Hugst!$R$4:$W$4,0))))</f>
        <v>934.56219061059198</v>
      </c>
      <c r="AA242">
        <f ca="1">IF($C242-AA$1&lt;År1,0,Z241*(1-VLOOKUP($A242,[1]Hugst!$R$5:$W$9,MATCH(ROUNDUP((AA$1)/10,0)*10,[1]Hugst!$R$4:$W$4,0))))</f>
        <v>934.80661590594002</v>
      </c>
      <c r="AB242">
        <f ca="1">IF($C242-AB$1&lt;År1,0,AA241*(1-VLOOKUP($A242,[1]Hugst!$R$5:$W$9,MATCH(ROUNDUP((AB$1)/10,0)*10,[1]Hugst!$R$4:$W$4,0))))</f>
        <v>935.05600212322099</v>
      </c>
      <c r="AC242">
        <f ca="1">IF($C242-AC$1&lt;År1,0,AB241*(1-VLOOKUP($A242,[1]Hugst!$R$5:$W$9,MATCH(ROUNDUP((AC$1)/10,0)*10,[1]Hugst!$R$4:$W$4,0))))</f>
        <v>935.31036319403722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55000000000000004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23.707064910769986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648.59085800520052</v>
      </c>
      <c r="G243">
        <f ca="1">IF($C243-G$1&lt;År1,0,F242*(1-VLOOKUP($A243,[1]Hugst!$R$5:$W$9,MATCH(ROUNDUP((G$1)/10,0)*10,[1]Hugst!$R$4:$W$4,0))))</f>
        <v>649.40225181860978</v>
      </c>
      <c r="H243">
        <f ca="1">IF($C243-H$1&lt;År1,0,G242*(1-VLOOKUP($A243,[1]Hugst!$R$5:$W$9,MATCH(ROUNDUP((H$1)/10,0)*10,[1]Hugst!$R$4:$W$4,0))))</f>
        <v>650.2231177048684</v>
      </c>
      <c r="I243">
        <f ca="1">IF($C243-I$1&lt;År1,0,H242*(1-VLOOKUP($A243,[1]Hugst!$R$5:$W$9,MATCH(ROUNDUP((I$1)/10,0)*10,[1]Hugst!$R$4:$W$4,0))))</f>
        <v>651.05350647241403</v>
      </c>
      <c r="J243">
        <f ca="1">IF($C243-J$1&lt;År1,0,I242*(1-VLOOKUP($A243,[1]Hugst!$R$5:$W$9,MATCH(ROUNDUP((J$1)/10,0)*10,[1]Hugst!$R$4:$W$4,0))))</f>
        <v>651.89346917549801</v>
      </c>
      <c r="K243">
        <f ca="1">IF($C243-K$1&lt;År1,0,J242*(1-VLOOKUP($A243,[1]Hugst!$R$5:$W$9,MATCH(ROUNDUP((K$1)/10,0)*10,[1]Hugst!$R$4:$W$4,0))))</f>
        <v>652.07557194837727</v>
      </c>
      <c r="L243">
        <f ca="1">IF($C243-L$1&lt;År1,0,K242*(1-VLOOKUP($A243,[1]Hugst!$R$5:$W$9,MATCH(ROUNDUP((L$1)/10,0)*10,[1]Hugst!$R$4:$W$4,0))))</f>
        <v>651.34440210527418</v>
      </c>
      <c r="M243">
        <f ca="1">IF($C243-M$1&lt;År1,0,L242*(1-VLOOKUP($A243,[1]Hugst!$R$5:$W$9,MATCH(ROUNDUP((M$1)/10,0)*10,[1]Hugst!$R$4:$W$4,0))))</f>
        <v>650.6122941330409</v>
      </c>
      <c r="N243">
        <f ca="1">IF($C243-N$1&lt;År1,0,M242*(1-VLOOKUP($A243,[1]Hugst!$R$5:$W$9,MATCH(ROUNDUP((N$1)/10,0)*10,[1]Hugst!$R$4:$W$4,0))))</f>
        <v>649.87924933676322</v>
      </c>
      <c r="O243">
        <f ca="1">IF($C243-O$1&lt;År1,0,N242*(1-VLOOKUP($A243,[1]Hugst!$R$5:$W$9,MATCH(ROUNDUP((O$1)/10,0)*10,[1]Hugst!$R$4:$W$4,0))))</f>
        <v>649.14526904128661</v>
      </c>
      <c r="P243">
        <f ca="1">IF($C243-P$1&lt;År1,0,O242*(1-VLOOKUP($A243,[1]Hugst!$R$5:$W$9,MATCH(ROUNDUP((P$1)/10,0)*10,[1]Hugst!$R$4:$W$4,0))))</f>
        <v>646.98701478861699</v>
      </c>
      <c r="Q243">
        <f ca="1">IF($C243-Q$1&lt;År1,0,P242*(1-VLOOKUP($A243,[1]Hugst!$R$5:$W$9,MATCH(ROUNDUP((Q$1)/10,0)*10,[1]Hugst!$R$4:$W$4,0))))</f>
        <v>644.8341791539408</v>
      </c>
      <c r="R243">
        <f ca="1">IF($C243-R$1&lt;År1,0,Q242*(1-VLOOKUP($A243,[1]Hugst!$R$5:$W$9,MATCH(ROUNDUP((R$1)/10,0)*10,[1]Hugst!$R$4:$W$4,0))))</f>
        <v>642.68675216241354</v>
      </c>
      <c r="S243">
        <f ca="1">IF($C243-S$1&lt;År1,0,R242*(1-VLOOKUP($A243,[1]Hugst!$R$5:$W$9,MATCH(ROUNDUP((S$1)/10,0)*10,[1]Hugst!$R$4:$W$4,0))))</f>
        <v>640.54472386648388</v>
      </c>
      <c r="T243">
        <f ca="1">IF($C243-T$1&lt;År1,0,S242*(1-VLOOKUP($A243,[1]Hugst!$R$5:$W$9,MATCH(ROUNDUP((T$1)/10,0)*10,[1]Hugst!$R$4:$W$4,0))))</f>
        <v>938.50166336961593</v>
      </c>
      <c r="U243">
        <f ca="1">IF($C243-U$1&lt;År1,0,T242*(1-VLOOKUP($A243,[1]Hugst!$R$5:$W$9,MATCH(ROUNDUP((U$1)/10,0)*10,[1]Hugst!$R$4:$W$4,0))))</f>
        <v>935.71166072857079</v>
      </c>
      <c r="V243">
        <f ca="1">IF($C243-V$1&lt;År1,0,U242*(1-VLOOKUP($A243,[1]Hugst!$R$5:$W$9,MATCH(ROUNDUP((V$1)/10,0)*10,[1]Hugst!$R$4:$W$4,0))))</f>
        <v>935.01297393580444</v>
      </c>
      <c r="W243">
        <f ca="1">IF($C243-W$1&lt;År1,0,V242*(1-VLOOKUP($A243,[1]Hugst!$R$5:$W$9,MATCH(ROUNDUP((W$1)/10,0)*10,[1]Hugst!$R$4:$W$4,0))))</f>
        <v>934.3196414403676</v>
      </c>
      <c r="X243">
        <f ca="1">IF($C243-X$1&lt;År1,0,W242*(1-VLOOKUP($A243,[1]Hugst!$R$5:$W$9,MATCH(ROUNDUP((X$1)/10,0)*10,[1]Hugst!$R$4:$W$4,0))))</f>
        <v>933.63166225910447</v>
      </c>
      <c r="Y243">
        <f ca="1">IF($C243-Y$1&lt;År1,0,X242*(1-VLOOKUP($A243,[1]Hugst!$R$5:$W$9,MATCH(ROUNDUP((Y$1)/10,0)*10,[1]Hugst!$R$4:$W$4,0))))</f>
        <v>932.94903544130625</v>
      </c>
      <c r="Z243">
        <f ca="1">IF($C243-Z$1&lt;År1,0,Y242*(1-VLOOKUP($A243,[1]Hugst!$R$5:$W$9,MATCH(ROUNDUP((Z$1)/10,0)*10,[1]Hugst!$R$4:$W$4,0))))</f>
        <v>933.18329442241065</v>
      </c>
      <c r="AA243">
        <f ca="1">IF($C243-AA$1&lt;År1,0,Z242*(1-VLOOKUP($A243,[1]Hugst!$R$5:$W$9,MATCH(ROUNDUP((AA$1)/10,0)*10,[1]Hugst!$R$4:$W$4,0))))</f>
        <v>933.42248062204249</v>
      </c>
      <c r="AB243">
        <f ca="1">IF($C243-AB$1&lt;År1,0,AA242*(1-VLOOKUP($A243,[1]Hugst!$R$5:$W$9,MATCH(ROUNDUP((AB$1)/10,0)*10,[1]Hugst!$R$4:$W$4,0))))</f>
        <v>933.66660783776206</v>
      </c>
      <c r="AC243">
        <f ca="1">IF($C243-AC$1&lt;År1,0,AB242*(1-VLOOKUP($A243,[1]Hugst!$R$5:$W$9,MATCH(ROUNDUP((AC$1)/10,0)*10,[1]Hugst!$R$4:$W$4,0))))</f>
        <v>933.9156899255097</v>
      </c>
      <c r="AD243">
        <f ca="1">IF($C243-AD$1&lt;År1,0,AC242*(1-VLOOKUP($A243,[1]Hugst!$R$5:$W$9,MATCH(ROUNDUP((AD$1)/10,0)*10,[1]Hugst!$R$4:$W$4,0))))</f>
        <v>934.16974079989814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55000000000000004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24.175344905353995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647.78888570098252</v>
      </c>
      <c r="G244">
        <f ca="1">IF($C244-G$1&lt;År1,0,F243*(1-VLOOKUP($A244,[1]Hugst!$R$5:$W$9,MATCH(ROUNDUP((G$1)/10,0)*10,[1]Hugst!$R$4:$W$4,0))))</f>
        <v>648.59085800520052</v>
      </c>
      <c r="H244">
        <f ca="1">IF($C244-H$1&lt;År1,0,G243*(1-VLOOKUP($A244,[1]Hugst!$R$5:$W$9,MATCH(ROUNDUP((H$1)/10,0)*10,[1]Hugst!$R$4:$W$4,0))))</f>
        <v>649.40225181860978</v>
      </c>
      <c r="I244">
        <f ca="1">IF($C244-I$1&lt;År1,0,H243*(1-VLOOKUP($A244,[1]Hugst!$R$5:$W$9,MATCH(ROUNDUP((I$1)/10,0)*10,[1]Hugst!$R$4:$W$4,0))))</f>
        <v>650.2231177048684</v>
      </c>
      <c r="J244">
        <f ca="1">IF($C244-J$1&lt;År1,0,I243*(1-VLOOKUP($A244,[1]Hugst!$R$5:$W$9,MATCH(ROUNDUP((J$1)/10,0)*10,[1]Hugst!$R$4:$W$4,0))))</f>
        <v>651.05350647241403</v>
      </c>
      <c r="K244">
        <f ca="1">IF($C244-K$1&lt;År1,0,J243*(1-VLOOKUP($A244,[1]Hugst!$R$5:$W$9,MATCH(ROUNDUP((K$1)/10,0)*10,[1]Hugst!$R$4:$W$4,0))))</f>
        <v>651.89346917549801</v>
      </c>
      <c r="L244">
        <f ca="1">IF($C244-L$1&lt;År1,0,K243*(1-VLOOKUP($A244,[1]Hugst!$R$5:$W$9,MATCH(ROUNDUP((L$1)/10,0)*10,[1]Hugst!$R$4:$W$4,0))))</f>
        <v>652.07557194837727</v>
      </c>
      <c r="M244">
        <f ca="1">IF($C244-M$1&lt;År1,0,L243*(1-VLOOKUP($A244,[1]Hugst!$R$5:$W$9,MATCH(ROUNDUP((M$1)/10,0)*10,[1]Hugst!$R$4:$W$4,0))))</f>
        <v>651.34440210527418</v>
      </c>
      <c r="N244">
        <f ca="1">IF($C244-N$1&lt;År1,0,M243*(1-VLOOKUP($A244,[1]Hugst!$R$5:$W$9,MATCH(ROUNDUP((N$1)/10,0)*10,[1]Hugst!$R$4:$W$4,0))))</f>
        <v>650.6122941330409</v>
      </c>
      <c r="O244">
        <f ca="1">IF($C244-O$1&lt;År1,0,N243*(1-VLOOKUP($A244,[1]Hugst!$R$5:$W$9,MATCH(ROUNDUP((O$1)/10,0)*10,[1]Hugst!$R$4:$W$4,0))))</f>
        <v>649.87924933676322</v>
      </c>
      <c r="P244">
        <f ca="1">IF($C244-P$1&lt;År1,0,O243*(1-VLOOKUP($A244,[1]Hugst!$R$5:$W$9,MATCH(ROUNDUP((P$1)/10,0)*10,[1]Hugst!$R$4:$W$4,0))))</f>
        <v>647.72031601168374</v>
      </c>
      <c r="Q244">
        <f ca="1">IF($C244-Q$1&lt;År1,0,P243*(1-VLOOKUP($A244,[1]Hugst!$R$5:$W$9,MATCH(ROUNDUP((Q$1)/10,0)*10,[1]Hugst!$R$4:$W$4,0))))</f>
        <v>645.5667993903005</v>
      </c>
      <c r="R244">
        <f ca="1">IF($C244-R$1&lt;År1,0,Q243*(1-VLOOKUP($A244,[1]Hugst!$R$5:$W$9,MATCH(ROUNDUP((R$1)/10,0)*10,[1]Hugst!$R$4:$W$4,0))))</f>
        <v>643.41868949238335</v>
      </c>
      <c r="S244">
        <f ca="1">IF($C244-S$1&lt;År1,0,R243*(1-VLOOKUP($A244,[1]Hugst!$R$5:$W$9,MATCH(ROUNDUP((S$1)/10,0)*10,[1]Hugst!$R$4:$W$4,0))))</f>
        <v>641.27597636498388</v>
      </c>
      <c r="T244">
        <f ca="1">IF($C244-T$1&lt;År1,0,S243*(1-VLOOKUP($A244,[1]Hugst!$R$5:$W$9,MATCH(ROUNDUP((T$1)/10,0)*10,[1]Hugst!$R$4:$W$4,0))))</f>
        <v>639.13865008238668</v>
      </c>
      <c r="U244">
        <f ca="1">IF($C244-U$1&lt;År1,0,T243*(1-VLOOKUP($A244,[1]Hugst!$R$5:$W$9,MATCH(ROUNDUP((U$1)/10,0)*10,[1]Hugst!$R$4:$W$4,0))))</f>
        <v>936.4415377670972</v>
      </c>
      <c r="V244">
        <f ca="1">IF($C244-V$1&lt;År1,0,U243*(1-VLOOKUP($A244,[1]Hugst!$R$5:$W$9,MATCH(ROUNDUP((V$1)/10,0)*10,[1]Hugst!$R$4:$W$4,0))))</f>
        <v>933.65765952209347</v>
      </c>
      <c r="W244">
        <f ca="1">IF($C244-W$1&lt;År1,0,V243*(1-VLOOKUP($A244,[1]Hugst!$R$5:$W$9,MATCH(ROUNDUP((W$1)/10,0)*10,[1]Hugst!$R$4:$W$4,0))))</f>
        <v>932.96050643204296</v>
      </c>
      <c r="X244">
        <f ca="1">IF($C244-X$1&lt;År1,0,W243*(1-VLOOKUP($A244,[1]Hugst!$R$5:$W$9,MATCH(ROUNDUP((X$1)/10,0)*10,[1]Hugst!$R$4:$W$4,0))))</f>
        <v>932.26869588598629</v>
      </c>
      <c r="Y244">
        <f ca="1">IF($C244-Y$1&lt;År1,0,X243*(1-VLOOKUP($A244,[1]Hugst!$R$5:$W$9,MATCH(ROUNDUP((Y$1)/10,0)*10,[1]Hugst!$R$4:$W$4,0))))</f>
        <v>931.58222690292598</v>
      </c>
      <c r="Z244">
        <f ca="1">IF($C244-Z$1&lt;År1,0,Y243*(1-VLOOKUP($A244,[1]Hugst!$R$5:$W$9,MATCH(ROUNDUP((Z$1)/10,0)*10,[1]Hugst!$R$4:$W$4,0))))</f>
        <v>931.81129271515829</v>
      </c>
      <c r="AA244">
        <f ca="1">IF($C244-AA$1&lt;År1,0,Z243*(1-VLOOKUP($A244,[1]Hugst!$R$5:$W$9,MATCH(ROUNDUP((AA$1)/10,0)*10,[1]Hugst!$R$4:$W$4,0))))</f>
        <v>932.04526601457849</v>
      </c>
      <c r="AB244">
        <f ca="1">IF($C244-AB$1&lt;År1,0,AA243*(1-VLOOKUP($A244,[1]Hugst!$R$5:$W$9,MATCH(ROUNDUP((AB$1)/10,0)*10,[1]Hugst!$R$4:$W$4,0))))</f>
        <v>932.2841605237229</v>
      </c>
      <c r="AC244">
        <f ca="1">IF($C244-AC$1&lt;År1,0,AB243*(1-VLOOKUP($A244,[1]Hugst!$R$5:$W$9,MATCH(ROUNDUP((AC$1)/10,0)*10,[1]Hugst!$R$4:$W$4,0))))</f>
        <v>932.52799002332574</v>
      </c>
      <c r="AD244">
        <f ca="1">IF($C244-AD$1&lt;År1,0,AC243*(1-VLOOKUP($A244,[1]Hugst!$R$5:$W$9,MATCH(ROUNDUP((AD$1)/10,0)*10,[1]Hugst!$R$4:$W$4,0))))</f>
        <v>932.77676835242983</v>
      </c>
      <c r="AE244">
        <f ca="1">IF($C244-AE$1&lt;År1,0,AD243*(1-VLOOKUP($A244,[1]Hugst!$R$5:$W$9,MATCH(ROUNDUP((AE$1)/10,0)*10,[1]Hugst!$R$4:$W$4,0))))</f>
        <v>933.03050940867877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55000000000000004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24.646644827385899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646.99628458570851</v>
      </c>
      <c r="G245">
        <f ca="1">IF($C245-G$1&lt;År1,0,F244*(1-VLOOKUP($A245,[1]Hugst!$R$5:$W$9,MATCH(ROUNDUP((G$1)/10,0)*10,[1]Hugst!$R$4:$W$4,0))))</f>
        <v>647.78888570098252</v>
      </c>
      <c r="H245">
        <f ca="1">IF($C245-H$1&lt;År1,0,G244*(1-VLOOKUP($A245,[1]Hugst!$R$5:$W$9,MATCH(ROUNDUP((H$1)/10,0)*10,[1]Hugst!$R$4:$W$4,0))))</f>
        <v>648.59085800520052</v>
      </c>
      <c r="I245">
        <f ca="1">IF($C245-I$1&lt;År1,0,H244*(1-VLOOKUP($A245,[1]Hugst!$R$5:$W$9,MATCH(ROUNDUP((I$1)/10,0)*10,[1]Hugst!$R$4:$W$4,0))))</f>
        <v>649.40225181860978</v>
      </c>
      <c r="J245">
        <f ca="1">IF($C245-J$1&lt;År1,0,I244*(1-VLOOKUP($A245,[1]Hugst!$R$5:$W$9,MATCH(ROUNDUP((J$1)/10,0)*10,[1]Hugst!$R$4:$W$4,0))))</f>
        <v>650.2231177048684</v>
      </c>
      <c r="K245">
        <f ca="1">IF($C245-K$1&lt;År1,0,J244*(1-VLOOKUP($A245,[1]Hugst!$R$5:$W$9,MATCH(ROUNDUP((K$1)/10,0)*10,[1]Hugst!$R$4:$W$4,0))))</f>
        <v>651.05350647241403</v>
      </c>
      <c r="L245">
        <f ca="1">IF($C245-L$1&lt;År1,0,K244*(1-VLOOKUP($A245,[1]Hugst!$R$5:$W$9,MATCH(ROUNDUP((L$1)/10,0)*10,[1]Hugst!$R$4:$W$4,0))))</f>
        <v>651.89346917549801</v>
      </c>
      <c r="M245">
        <f ca="1">IF($C245-M$1&lt;År1,0,L244*(1-VLOOKUP($A245,[1]Hugst!$R$5:$W$9,MATCH(ROUNDUP((M$1)/10,0)*10,[1]Hugst!$R$4:$W$4,0))))</f>
        <v>652.07557194837727</v>
      </c>
      <c r="N245">
        <f ca="1">IF($C245-N$1&lt;År1,0,M244*(1-VLOOKUP($A245,[1]Hugst!$R$5:$W$9,MATCH(ROUNDUP((N$1)/10,0)*10,[1]Hugst!$R$4:$W$4,0))))</f>
        <v>651.34440210527418</v>
      </c>
      <c r="O245">
        <f ca="1">IF($C245-O$1&lt;År1,0,N244*(1-VLOOKUP($A245,[1]Hugst!$R$5:$W$9,MATCH(ROUNDUP((O$1)/10,0)*10,[1]Hugst!$R$4:$W$4,0))))</f>
        <v>650.6122941330409</v>
      </c>
      <c r="P245">
        <f ca="1">IF($C245-P$1&lt;År1,0,O244*(1-VLOOKUP($A245,[1]Hugst!$R$5:$W$9,MATCH(ROUNDUP((P$1)/10,0)*10,[1]Hugst!$R$4:$W$4,0))))</f>
        <v>648.45268513090207</v>
      </c>
      <c r="Q245">
        <f ca="1">IF($C245-Q$1&lt;År1,0,P244*(1-VLOOKUP($A245,[1]Hugst!$R$5:$W$9,MATCH(ROUNDUP((Q$1)/10,0)*10,[1]Hugst!$R$4:$W$4,0))))</f>
        <v>646.29849092775567</v>
      </c>
      <c r="R245">
        <f ca="1">IF($C245-R$1&lt;År1,0,Q244*(1-VLOOKUP($A245,[1]Hugst!$R$5:$W$9,MATCH(ROUNDUP((R$1)/10,0)*10,[1]Hugst!$R$4:$W$4,0))))</f>
        <v>644.14970153798038</v>
      </c>
      <c r="S245">
        <f ca="1">IF($C245-S$1&lt;År1,0,R244*(1-VLOOKUP($A245,[1]Hugst!$R$5:$W$9,MATCH(ROUNDUP((S$1)/10,0)*10,[1]Hugst!$R$4:$W$4,0))))</f>
        <v>642.00630700325371</v>
      </c>
      <c r="T245">
        <f ca="1">IF($C245-T$1&lt;År1,0,S244*(1-VLOOKUP($A245,[1]Hugst!$R$5:$W$9,MATCH(ROUNDUP((T$1)/10,0)*10,[1]Hugst!$R$4:$W$4,0))))</f>
        <v>639.86829739247537</v>
      </c>
      <c r="U245">
        <f ca="1">IF($C245-U$1&lt;År1,0,T244*(1-VLOOKUP($A245,[1]Hugst!$R$5:$W$9,MATCH(ROUNDUP((U$1)/10,0)*10,[1]Hugst!$R$4:$W$4,0))))</f>
        <v>637.73566280171804</v>
      </c>
      <c r="V245">
        <f ca="1">IF($C245-V$1&lt;År1,0,U244*(1-VLOOKUP($A245,[1]Hugst!$R$5:$W$9,MATCH(ROUNDUP((V$1)/10,0)*10,[1]Hugst!$R$4:$W$4,0))))</f>
        <v>934.38593439151089</v>
      </c>
      <c r="W245">
        <f ca="1">IF($C245-W$1&lt;År1,0,V244*(1-VLOOKUP($A245,[1]Hugst!$R$5:$W$9,MATCH(ROUNDUP((W$1)/10,0)*10,[1]Hugst!$R$4:$W$4,0))))</f>
        <v>931.60816709875223</v>
      </c>
      <c r="X245">
        <f ca="1">IF($C245-X$1&lt;År1,0,W244*(1-VLOOKUP($A245,[1]Hugst!$R$5:$W$9,MATCH(ROUNDUP((X$1)/10,0)*10,[1]Hugst!$R$4:$W$4,0))))</f>
        <v>930.91254434475309</v>
      </c>
      <c r="Y245">
        <f ca="1">IF($C245-Y$1&lt;År1,0,X244*(1-VLOOKUP($A245,[1]Hugst!$R$5:$W$9,MATCH(ROUNDUP((Y$1)/10,0)*10,[1]Hugst!$R$4:$W$4,0))))</f>
        <v>930.22225240721218</v>
      </c>
      <c r="Z245">
        <f ca="1">IF($C245-Z$1&lt;År1,0,Y244*(1-VLOOKUP($A245,[1]Hugst!$R$5:$W$9,MATCH(ROUNDUP((Z$1)/10,0)*10,[1]Hugst!$R$4:$W$4,0))))</f>
        <v>930.446151016459</v>
      </c>
      <c r="AA245">
        <f ca="1">IF($C245-AA$1&lt;År1,0,Z244*(1-VLOOKUP($A245,[1]Hugst!$R$5:$W$9,MATCH(ROUNDUP((AA$1)/10,0)*10,[1]Hugst!$R$4:$W$4,0))))</f>
        <v>930.67493748013976</v>
      </c>
      <c r="AB245">
        <f ca="1">IF($C245-AB$1&lt;År1,0,AA244*(1-VLOOKUP($A245,[1]Hugst!$R$5:$W$9,MATCH(ROUNDUP((AB$1)/10,0)*10,[1]Hugst!$R$4:$W$4,0))))</f>
        <v>930.90862544626805</v>
      </c>
      <c r="AC245">
        <f ca="1">IF($C245-AC$1&lt;År1,0,AB244*(1-VLOOKUP($A245,[1]Hugst!$R$5:$W$9,MATCH(ROUNDUP((AC$1)/10,0)*10,[1]Hugst!$R$4:$W$4,0))))</f>
        <v>931.14722862064514</v>
      </c>
      <c r="AD245">
        <f ca="1">IF($C245-AD$1&lt;År1,0,AC244*(1-VLOOKUP($A245,[1]Hugst!$R$5:$W$9,MATCH(ROUNDUP((AD$1)/10,0)*10,[1]Hugst!$R$4:$W$4,0))))</f>
        <v>931.39076076719971</v>
      </c>
      <c r="AE245">
        <f ca="1">IF($C245-AE$1&lt;År1,0,AD244*(1-VLOOKUP($A245,[1]Hugst!$R$5:$W$9,MATCH(ROUNDUP((AE$1)/10,0)*10,[1]Hugst!$R$4:$W$4,0))))</f>
        <v>931.63923570809754</v>
      </c>
      <c r="AF245">
        <f ca="1">IF($C245-AF$1&lt;År1,0,AE244*(1-VLOOKUP($A245,[1]Hugst!$R$5:$W$9,MATCH(ROUNDUP((AF$1)/10,0)*10,[1]Hugst!$R$4:$W$4,0))))</f>
        <v>931.89266732403405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55000000000000004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25.120946355298656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646.21300458148062</v>
      </c>
      <c r="G246">
        <f ca="1">IF($C246-G$1&lt;År1,0,F245*(1-VLOOKUP($A246,[1]Hugst!$R$5:$W$9,MATCH(ROUNDUP((G$1)/10,0)*10,[1]Hugst!$R$4:$W$4,0))))</f>
        <v>646.99628458570851</v>
      </c>
      <c r="H246">
        <f ca="1">IF($C246-H$1&lt;År1,0,G245*(1-VLOOKUP($A246,[1]Hugst!$R$5:$W$9,MATCH(ROUNDUP((H$1)/10,0)*10,[1]Hugst!$R$4:$W$4,0))))</f>
        <v>647.78888570098252</v>
      </c>
      <c r="I246">
        <f ca="1">IF($C246-I$1&lt;År1,0,H245*(1-VLOOKUP($A246,[1]Hugst!$R$5:$W$9,MATCH(ROUNDUP((I$1)/10,0)*10,[1]Hugst!$R$4:$W$4,0))))</f>
        <v>648.59085800520052</v>
      </c>
      <c r="J246">
        <f ca="1">IF($C246-J$1&lt;År1,0,I245*(1-VLOOKUP($A246,[1]Hugst!$R$5:$W$9,MATCH(ROUNDUP((J$1)/10,0)*10,[1]Hugst!$R$4:$W$4,0))))</f>
        <v>649.40225181860978</v>
      </c>
      <c r="K246">
        <f ca="1">IF($C246-K$1&lt;År1,0,J245*(1-VLOOKUP($A246,[1]Hugst!$R$5:$W$9,MATCH(ROUNDUP((K$1)/10,0)*10,[1]Hugst!$R$4:$W$4,0))))</f>
        <v>650.2231177048684</v>
      </c>
      <c r="L246">
        <f ca="1">IF($C246-L$1&lt;År1,0,K245*(1-VLOOKUP($A246,[1]Hugst!$R$5:$W$9,MATCH(ROUNDUP((L$1)/10,0)*10,[1]Hugst!$R$4:$W$4,0))))</f>
        <v>651.05350647241403</v>
      </c>
      <c r="M246">
        <f ca="1">IF($C246-M$1&lt;År1,0,L245*(1-VLOOKUP($A246,[1]Hugst!$R$5:$W$9,MATCH(ROUNDUP((M$1)/10,0)*10,[1]Hugst!$R$4:$W$4,0))))</f>
        <v>651.89346917549801</v>
      </c>
      <c r="N246">
        <f ca="1">IF($C246-N$1&lt;År1,0,M245*(1-VLOOKUP($A246,[1]Hugst!$R$5:$W$9,MATCH(ROUNDUP((N$1)/10,0)*10,[1]Hugst!$R$4:$W$4,0))))</f>
        <v>652.07557194837727</v>
      </c>
      <c r="O246">
        <f ca="1">IF($C246-O$1&lt;År1,0,N245*(1-VLOOKUP($A246,[1]Hugst!$R$5:$W$9,MATCH(ROUNDUP((O$1)/10,0)*10,[1]Hugst!$R$4:$W$4,0))))</f>
        <v>651.34440210527418</v>
      </c>
      <c r="P246">
        <f ca="1">IF($C246-P$1&lt;År1,0,O245*(1-VLOOKUP($A246,[1]Hugst!$R$5:$W$9,MATCH(ROUNDUP((P$1)/10,0)*10,[1]Hugst!$R$4:$W$4,0))))</f>
        <v>649.18412080445614</v>
      </c>
      <c r="Q246">
        <f ca="1">IF($C246-Q$1&lt;År1,0,P245*(1-VLOOKUP($A246,[1]Hugst!$R$5:$W$9,MATCH(ROUNDUP((Q$1)/10,0)*10,[1]Hugst!$R$4:$W$4,0))))</f>
        <v>647.02925240744401</v>
      </c>
      <c r="R246">
        <f ca="1">IF($C246-R$1&lt;År1,0,Q245*(1-VLOOKUP($A246,[1]Hugst!$R$5:$W$9,MATCH(ROUNDUP((R$1)/10,0)*10,[1]Hugst!$R$4:$W$4,0))))</f>
        <v>644.87978692328011</v>
      </c>
      <c r="S246">
        <f ca="1">IF($C246-S$1&lt;År1,0,R245*(1-VLOOKUP($A246,[1]Hugst!$R$5:$W$9,MATCH(ROUNDUP((S$1)/10,0)*10,[1]Hugst!$R$4:$W$4,0))))</f>
        <v>642.73571438826286</v>
      </c>
      <c r="T246">
        <f ca="1">IF($C246-T$1&lt;År1,0,S245*(1-VLOOKUP($A246,[1]Hugst!$R$5:$W$9,MATCH(ROUNDUP((T$1)/10,0)*10,[1]Hugst!$R$4:$W$4,0))))</f>
        <v>640.59702486592948</v>
      </c>
      <c r="U246">
        <f ca="1">IF($C246-U$1&lt;År1,0,T245*(1-VLOOKUP($A246,[1]Hugst!$R$5:$W$9,MATCH(ROUNDUP((U$1)/10,0)*10,[1]Hugst!$R$4:$W$4,0))))</f>
        <v>638.46370844697969</v>
      </c>
      <c r="V246">
        <f ca="1">IF($C246-V$1&lt;År1,0,U245*(1-VLOOKUP($A246,[1]Hugst!$R$5:$W$9,MATCH(ROUNDUP((V$1)/10,0)*10,[1]Hugst!$R$4:$W$4,0))))</f>
        <v>636.33575524922651</v>
      </c>
      <c r="W246">
        <f ca="1">IF($C246-W$1&lt;År1,0,V245*(1-VLOOKUP($A246,[1]Hugst!$R$5:$W$9,MATCH(ROUNDUP((W$1)/10,0)*10,[1]Hugst!$R$4:$W$4,0))))</f>
        <v>932.33484331601733</v>
      </c>
      <c r="X246">
        <f ca="1">IF($C246-X$1&lt;År1,0,W245*(1-VLOOKUP($A246,[1]Hugst!$R$5:$W$9,MATCH(ROUNDUP((X$1)/10,0)*10,[1]Hugst!$R$4:$W$4,0))))</f>
        <v>929.56317356121838</v>
      </c>
      <c r="Y246">
        <f ca="1">IF($C246-Y$1&lt;År1,0,X245*(1-VLOOKUP($A246,[1]Hugst!$R$5:$W$9,MATCH(ROUNDUP((Y$1)/10,0)*10,[1]Hugst!$R$4:$W$4,0))))</f>
        <v>928.86907778399632</v>
      </c>
      <c r="Z246">
        <f ca="1">IF($C246-Z$1&lt;År1,0,Y245*(1-VLOOKUP($A246,[1]Hugst!$R$5:$W$9,MATCH(ROUNDUP((Z$1)/10,0)*10,[1]Hugst!$R$4:$W$4,0))))</f>
        <v>929.08783502622782</v>
      </c>
      <c r="AA246">
        <f ca="1">IF($C246-AA$1&lt;År1,0,Z245*(1-VLOOKUP($A246,[1]Hugst!$R$5:$W$9,MATCH(ROUNDUP((AA$1)/10,0)*10,[1]Hugst!$R$4:$W$4,0))))</f>
        <v>929.3114605883901</v>
      </c>
      <c r="AB246">
        <f ca="1">IF($C246-AB$1&lt;År1,0,AA245*(1-VLOOKUP($A246,[1]Hugst!$R$5:$W$9,MATCH(ROUNDUP((AB$1)/10,0)*10,[1]Hugst!$R$4:$W$4,0))))</f>
        <v>929.53996804418841</v>
      </c>
      <c r="AC246">
        <f ca="1">IF($C246-AC$1&lt;År1,0,AB245*(1-VLOOKUP($A246,[1]Hugst!$R$5:$W$9,MATCH(ROUNDUP((AC$1)/10,0)*10,[1]Hugst!$R$4:$W$4,0))))</f>
        <v>929.77337102499212</v>
      </c>
      <c r="AD246">
        <f ca="1">IF($C246-AD$1&lt;År1,0,AC245*(1-VLOOKUP($A246,[1]Hugst!$R$5:$W$9,MATCH(ROUNDUP((AD$1)/10,0)*10,[1]Hugst!$R$4:$W$4,0))))</f>
        <v>930.01168321988825</v>
      </c>
      <c r="AE246">
        <f ca="1">IF($C246-AE$1&lt;År1,0,AD245*(1-VLOOKUP($A246,[1]Hugst!$R$5:$W$9,MATCH(ROUNDUP((AE$1)/10,0)*10,[1]Hugst!$R$4:$W$4,0))))</f>
        <v>930.25491837602021</v>
      </c>
      <c r="AF246">
        <f ca="1">IF($C246-AF$1&lt;År1,0,AE245*(1-VLOOKUP($A246,[1]Hugst!$R$5:$W$9,MATCH(ROUNDUP((AF$1)/10,0)*10,[1]Hugst!$R$4:$W$4,0))))</f>
        <v>930.50309029869743</v>
      </c>
      <c r="AG246">
        <f ca="1">IF($C246-AG$1&lt;År1,0,AF245*(1-VLOOKUP($A246,[1]Hugst!$R$5:$W$9,MATCH(ROUNDUP((AG$1)/10,0)*10,[1]Hugst!$R$4:$W$4,0))))</f>
        <v>930.75621285168768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55000000000000004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25.598231249929086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645.43899585165263</v>
      </c>
      <c r="G247">
        <f ca="1">IF($C247-G$1&lt;År1,0,F246*(1-VLOOKUP($A247,[1]Hugst!$R$5:$W$9,MATCH(ROUNDUP((G$1)/10,0)*10,[1]Hugst!$R$4:$W$4,0))))</f>
        <v>646.21300458148062</v>
      </c>
      <c r="H247">
        <f ca="1">IF($C247-H$1&lt;År1,0,G246*(1-VLOOKUP($A247,[1]Hugst!$R$5:$W$9,MATCH(ROUNDUP((H$1)/10,0)*10,[1]Hugst!$R$4:$W$4,0))))</f>
        <v>646.99628458570851</v>
      </c>
      <c r="I247">
        <f ca="1">IF($C247-I$1&lt;År1,0,H246*(1-VLOOKUP($A247,[1]Hugst!$R$5:$W$9,MATCH(ROUNDUP((I$1)/10,0)*10,[1]Hugst!$R$4:$W$4,0))))</f>
        <v>647.78888570098252</v>
      </c>
      <c r="J247">
        <f ca="1">IF($C247-J$1&lt;År1,0,I246*(1-VLOOKUP($A247,[1]Hugst!$R$5:$W$9,MATCH(ROUNDUP((J$1)/10,0)*10,[1]Hugst!$R$4:$W$4,0))))</f>
        <v>648.59085800520052</v>
      </c>
      <c r="K247">
        <f ca="1">IF($C247-K$1&lt;År1,0,J246*(1-VLOOKUP($A247,[1]Hugst!$R$5:$W$9,MATCH(ROUNDUP((K$1)/10,0)*10,[1]Hugst!$R$4:$W$4,0))))</f>
        <v>649.40225181860978</v>
      </c>
      <c r="L247">
        <f ca="1">IF($C247-L$1&lt;År1,0,K246*(1-VLOOKUP($A247,[1]Hugst!$R$5:$W$9,MATCH(ROUNDUP((L$1)/10,0)*10,[1]Hugst!$R$4:$W$4,0))))</f>
        <v>650.2231177048684</v>
      </c>
      <c r="M247">
        <f ca="1">IF($C247-M$1&lt;År1,0,L246*(1-VLOOKUP($A247,[1]Hugst!$R$5:$W$9,MATCH(ROUNDUP((M$1)/10,0)*10,[1]Hugst!$R$4:$W$4,0))))</f>
        <v>651.05350647241403</v>
      </c>
      <c r="N247">
        <f ca="1">IF($C247-N$1&lt;År1,0,M246*(1-VLOOKUP($A247,[1]Hugst!$R$5:$W$9,MATCH(ROUNDUP((N$1)/10,0)*10,[1]Hugst!$R$4:$W$4,0))))</f>
        <v>651.89346917549801</v>
      </c>
      <c r="O247">
        <f ca="1">IF($C247-O$1&lt;År1,0,N246*(1-VLOOKUP($A247,[1]Hugst!$R$5:$W$9,MATCH(ROUNDUP((O$1)/10,0)*10,[1]Hugst!$R$4:$W$4,0))))</f>
        <v>652.07557194837727</v>
      </c>
      <c r="P247">
        <f ca="1">IF($C247-P$1&lt;År1,0,O246*(1-VLOOKUP($A247,[1]Hugst!$R$5:$W$9,MATCH(ROUNDUP((P$1)/10,0)*10,[1]Hugst!$R$4:$W$4,0))))</f>
        <v>649.91462171040894</v>
      </c>
      <c r="Q247">
        <f ca="1">IF($C247-Q$1&lt;År1,0,P246*(1-VLOOKUP($A247,[1]Hugst!$R$5:$W$9,MATCH(ROUNDUP((Q$1)/10,0)*10,[1]Hugst!$R$4:$W$4,0))))</f>
        <v>647.75908249049519</v>
      </c>
      <c r="R247">
        <f ca="1">IF($C247-R$1&lt;År1,0,Q246*(1-VLOOKUP($A247,[1]Hugst!$R$5:$W$9,MATCH(ROUNDUP((R$1)/10,0)*10,[1]Hugst!$R$4:$W$4,0))))</f>
        <v>645.60894429240329</v>
      </c>
      <c r="S247">
        <f ca="1">IF($C247-S$1&lt;År1,0,R246*(1-VLOOKUP($A247,[1]Hugst!$R$5:$W$9,MATCH(ROUNDUP((S$1)/10,0)*10,[1]Hugst!$R$4:$W$4,0))))</f>
        <v>643.46419714710703</v>
      </c>
      <c r="T247">
        <f ca="1">IF($C247-T$1&lt;År1,0,S246*(1-VLOOKUP($A247,[1]Hugst!$R$5:$W$9,MATCH(ROUNDUP((T$1)/10,0)*10,[1]Hugst!$R$4:$W$4,0))))</f>
        <v>641.32483111277645</v>
      </c>
      <c r="U247">
        <f ca="1">IF($C247-U$1&lt;År1,0,T246*(1-VLOOKUP($A247,[1]Hugst!$R$5:$W$9,MATCH(ROUNDUP((U$1)/10,0)*10,[1]Hugst!$R$4:$W$4,0))))</f>
        <v>639.19083627476039</v>
      </c>
      <c r="V247">
        <f ca="1">IF($C247-V$1&lt;År1,0,U246*(1-VLOOKUP($A247,[1]Hugst!$R$5:$W$9,MATCH(ROUNDUP((V$1)/10,0)*10,[1]Hugst!$R$4:$W$4,0))))</f>
        <v>637.06220274551072</v>
      </c>
      <c r="W247">
        <f ca="1">IF($C247-W$1&lt;År1,0,V246*(1-VLOOKUP($A247,[1]Hugst!$R$5:$W$9,MATCH(ROUNDUP((W$1)/10,0)*10,[1]Hugst!$R$4:$W$4,0))))</f>
        <v>634.93892066453304</v>
      </c>
      <c r="X247">
        <f ca="1">IF($C247-X$1&lt;År1,0,W246*(1-VLOOKUP($A247,[1]Hugst!$R$5:$W$9,MATCH(ROUNDUP((X$1)/10,0)*10,[1]Hugst!$R$4:$W$4,0))))</f>
        <v>930.28825463556757</v>
      </c>
      <c r="Y247">
        <f ca="1">IF($C247-Y$1&lt;År1,0,X246*(1-VLOOKUP($A247,[1]Hugst!$R$5:$W$9,MATCH(ROUNDUP((Y$1)/10,0)*10,[1]Hugst!$R$4:$W$4,0))))</f>
        <v>927.52266903388886</v>
      </c>
      <c r="Z247">
        <f ca="1">IF($C247-Z$1&lt;År1,0,Y246*(1-VLOOKUP($A247,[1]Hugst!$R$5:$W$9,MATCH(ROUNDUP((Z$1)/10,0)*10,[1]Hugst!$R$4:$W$4,0))))</f>
        <v>927.736310615967</v>
      </c>
      <c r="AA247">
        <f ca="1">IF($C247-AA$1&lt;År1,0,Z246*(1-VLOOKUP($A247,[1]Hugst!$R$5:$W$9,MATCH(ROUNDUP((AA$1)/10,0)*10,[1]Hugst!$R$4:$W$4,0))))</f>
        <v>927.95480108107392</v>
      </c>
      <c r="AB247">
        <f ca="1">IF($C247-AB$1&lt;År1,0,AA246*(1-VLOOKUP($A247,[1]Hugst!$R$5:$W$9,MATCH(ROUNDUP((AB$1)/10,0)*10,[1]Hugst!$R$4:$W$4,0))))</f>
        <v>928.17815392913599</v>
      </c>
      <c r="AC247">
        <f ca="1">IF($C247-AC$1&lt;År1,0,AB246*(1-VLOOKUP($A247,[1]Hugst!$R$5:$W$9,MATCH(ROUNDUP((AC$1)/10,0)*10,[1]Hugst!$R$4:$W$4,0))))</f>
        <v>928.40638271730529</v>
      </c>
      <c r="AD247">
        <f ca="1">IF($C247-AD$1&lt;År1,0,AC246*(1-VLOOKUP($A247,[1]Hugst!$R$5:$W$9,MATCH(ROUNDUP((AD$1)/10,0)*10,[1]Hugst!$R$4:$W$4,0))))</f>
        <v>928.63950106032746</v>
      </c>
      <c r="AE247">
        <f ca="1">IF($C247-AE$1&lt;År1,0,AD246*(1-VLOOKUP($A247,[1]Hugst!$R$5:$W$9,MATCH(ROUNDUP((AE$1)/10,0)*10,[1]Hugst!$R$4:$W$4,0))))</f>
        <v>928.87752263059576</v>
      </c>
      <c r="AF247">
        <f ca="1">IF($C247-AF$1&lt;År1,0,AE246*(1-VLOOKUP($A247,[1]Hugst!$R$5:$W$9,MATCH(ROUNDUP((AF$1)/10,0)*10,[1]Hugst!$R$4:$W$4,0))))</f>
        <v>929.12046115848852</v>
      </c>
      <c r="AG247">
        <f ca="1">IF($C247-AG$1&lt;År1,0,AF246*(1-VLOOKUP($A247,[1]Hugst!$R$5:$W$9,MATCH(ROUNDUP((AG$1)/10,0)*10,[1]Hugst!$R$4:$W$4,0))))</f>
        <v>929.36833043247952</v>
      </c>
      <c r="AH247">
        <f ca="1">IF($C247-AH$1&lt;År1,0,AG246*(1-VLOOKUP($A247,[1]Hugst!$R$5:$W$9,MATCH(ROUNDUP((AH$1)/10,0)*10,[1]Hugst!$R$4:$W$4,0))))</f>
        <v>929.62114429942949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55000000000000004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26.078481354139512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644.67420879953033</v>
      </c>
      <c r="G248">
        <f ca="1">IF($C248-G$1&lt;År1,0,F247*(1-VLOOKUP($A248,[1]Hugst!$R$5:$W$9,MATCH(ROUNDUP((G$1)/10,0)*10,[1]Hugst!$R$4:$W$4,0))))</f>
        <v>645.43899585165263</v>
      </c>
      <c r="H248">
        <f ca="1">IF($C248-H$1&lt;År1,0,G247*(1-VLOOKUP($A248,[1]Hugst!$R$5:$W$9,MATCH(ROUNDUP((H$1)/10,0)*10,[1]Hugst!$R$4:$W$4,0))))</f>
        <v>646.21300458148062</v>
      </c>
      <c r="I248">
        <f ca="1">IF($C248-I$1&lt;År1,0,H247*(1-VLOOKUP($A248,[1]Hugst!$R$5:$W$9,MATCH(ROUNDUP((I$1)/10,0)*10,[1]Hugst!$R$4:$W$4,0))))</f>
        <v>646.99628458570851</v>
      </c>
      <c r="J248">
        <f ca="1">IF($C248-J$1&lt;År1,0,I247*(1-VLOOKUP($A248,[1]Hugst!$R$5:$W$9,MATCH(ROUNDUP((J$1)/10,0)*10,[1]Hugst!$R$4:$W$4,0))))</f>
        <v>647.78888570098252</v>
      </c>
      <c r="K248">
        <f ca="1">IF($C248-K$1&lt;År1,0,J247*(1-VLOOKUP($A248,[1]Hugst!$R$5:$W$9,MATCH(ROUNDUP((K$1)/10,0)*10,[1]Hugst!$R$4:$W$4,0))))</f>
        <v>648.59085800520052</v>
      </c>
      <c r="L248">
        <f ca="1">IF($C248-L$1&lt;År1,0,K247*(1-VLOOKUP($A248,[1]Hugst!$R$5:$W$9,MATCH(ROUNDUP((L$1)/10,0)*10,[1]Hugst!$R$4:$W$4,0))))</f>
        <v>649.40225181860978</v>
      </c>
      <c r="M248">
        <f ca="1">IF($C248-M$1&lt;År1,0,L247*(1-VLOOKUP($A248,[1]Hugst!$R$5:$W$9,MATCH(ROUNDUP((M$1)/10,0)*10,[1]Hugst!$R$4:$W$4,0))))</f>
        <v>650.2231177048684</v>
      </c>
      <c r="N248">
        <f ca="1">IF($C248-N$1&lt;År1,0,M247*(1-VLOOKUP($A248,[1]Hugst!$R$5:$W$9,MATCH(ROUNDUP((N$1)/10,0)*10,[1]Hugst!$R$4:$W$4,0))))</f>
        <v>651.05350647241403</v>
      </c>
      <c r="O248">
        <f ca="1">IF($C248-O$1&lt;År1,0,N247*(1-VLOOKUP($A248,[1]Hugst!$R$5:$W$9,MATCH(ROUNDUP((O$1)/10,0)*10,[1]Hugst!$R$4:$W$4,0))))</f>
        <v>651.89346917549801</v>
      </c>
      <c r="P248">
        <f ca="1">IF($C248-P$1&lt;År1,0,O247*(1-VLOOKUP($A248,[1]Hugst!$R$5:$W$9,MATCH(ROUNDUP((P$1)/10,0)*10,[1]Hugst!$R$4:$W$4,0))))</f>
        <v>650.64418654653934</v>
      </c>
      <c r="Q248">
        <f ca="1">IF($C248-Q$1&lt;År1,0,P247*(1-VLOOKUP($A248,[1]Hugst!$R$5:$W$9,MATCH(ROUNDUP((Q$1)/10,0)*10,[1]Hugst!$R$4:$W$4,0))))</f>
        <v>648.48797985787394</v>
      </c>
      <c r="R248">
        <f ca="1">IF($C248-R$1&lt;År1,0,Q247*(1-VLOOKUP($A248,[1]Hugst!$R$5:$W$9,MATCH(ROUNDUP((R$1)/10,0)*10,[1]Hugst!$R$4:$W$4,0))))</f>
        <v>646.33717230941852</v>
      </c>
      <c r="S248">
        <f ca="1">IF($C248-S$1&lt;År1,0,R247*(1-VLOOKUP($A248,[1]Hugst!$R$5:$W$9,MATCH(ROUNDUP((S$1)/10,0)*10,[1]Hugst!$R$4:$W$4,0))))</f>
        <v>644.19175392688339</v>
      </c>
      <c r="T248">
        <f ca="1">IF($C248-T$1&lt;År1,0,S247*(1-VLOOKUP($A248,[1]Hugst!$R$5:$W$9,MATCH(ROUNDUP((T$1)/10,0)*10,[1]Hugst!$R$4:$W$4,0))))</f>
        <v>642.05171476312557</v>
      </c>
      <c r="U248">
        <f ca="1">IF($C248-U$1&lt;År1,0,T247*(1-VLOOKUP($A248,[1]Hugst!$R$5:$W$9,MATCH(ROUNDUP((U$1)/10,0)*10,[1]Hugst!$R$4:$W$4,0))))</f>
        <v>639.91704489813867</v>
      </c>
      <c r="V248">
        <f ca="1">IF($C248-V$1&lt;År1,0,U247*(1-VLOOKUP($A248,[1]Hugst!$R$5:$W$9,MATCH(ROUNDUP((V$1)/10,0)*10,[1]Hugst!$R$4:$W$4,0))))</f>
        <v>637.78773443903526</v>
      </c>
      <c r="W248">
        <f ca="1">IF($C248-W$1&lt;År1,0,V247*(1-VLOOKUP($A248,[1]Hugst!$R$5:$W$9,MATCH(ROUNDUP((W$1)/10,0)*10,[1]Hugst!$R$4:$W$4,0))))</f>
        <v>635.66377351997176</v>
      </c>
      <c r="X248">
        <f ca="1">IF($C248-X$1&lt;År1,0,W247*(1-VLOOKUP($A248,[1]Hugst!$R$5:$W$9,MATCH(ROUNDUP((X$1)/10,0)*10,[1]Hugst!$R$4:$W$4,0))))</f>
        <v>633.5451523020987</v>
      </c>
      <c r="Y248">
        <f ca="1">IF($C248-Y$1&lt;År1,0,X247*(1-VLOOKUP($A248,[1]Hugst!$R$5:$W$9,MATCH(ROUNDUP((Y$1)/10,0)*10,[1]Hugst!$R$4:$W$4,0))))</f>
        <v>928.24615846685538</v>
      </c>
      <c r="Z248">
        <f ca="1">IF($C248-Z$1&lt;År1,0,Y247*(1-VLOOKUP($A248,[1]Hugst!$R$5:$W$9,MATCH(ROUNDUP((Z$1)/10,0)*10,[1]Hugst!$R$4:$W$4,0))))</f>
        <v>926.39154382774996</v>
      </c>
      <c r="AA248">
        <f ca="1">IF($C248-AA$1&lt;År1,0,Z247*(1-VLOOKUP($A248,[1]Hugst!$R$5:$W$9,MATCH(ROUNDUP((AA$1)/10,0)*10,[1]Hugst!$R$4:$W$4,0))))</f>
        <v>926.60492487131341</v>
      </c>
      <c r="AB248">
        <f ca="1">IF($C248-AB$1&lt;År1,0,AA247*(1-VLOOKUP($A248,[1]Hugst!$R$5:$W$9,MATCH(ROUNDUP((AB$1)/10,0)*10,[1]Hugst!$R$4:$W$4,0))))</f>
        <v>926.82314888463361</v>
      </c>
      <c r="AC248">
        <f ca="1">IF($C248-AC$1&lt;År1,0,AB247*(1-VLOOKUP($A248,[1]Hugst!$R$5:$W$9,MATCH(ROUNDUP((AC$1)/10,0)*10,[1]Hugst!$R$4:$W$4,0))))</f>
        <v>927.04622935117368</v>
      </c>
      <c r="AD248">
        <f ca="1">IF($C248-AD$1&lt;År1,0,AC247*(1-VLOOKUP($A248,[1]Hugst!$R$5:$W$9,MATCH(ROUNDUP((AD$1)/10,0)*10,[1]Hugst!$R$4:$W$4,0))))</f>
        <v>927.27417981155247</v>
      </c>
      <c r="AE248">
        <f ca="1">IF($C248-AE$1&lt;År1,0,AD247*(1-VLOOKUP($A248,[1]Hugst!$R$5:$W$9,MATCH(ROUNDUP((AE$1)/10,0)*10,[1]Hugst!$R$4:$W$4,0))))</f>
        <v>927.50701386391245</v>
      </c>
      <c r="AF248">
        <f ca="1">IF($C248-AF$1&lt;År1,0,AE247*(1-VLOOKUP($A248,[1]Hugst!$R$5:$W$9,MATCH(ROUNDUP((AF$1)/10,0)*10,[1]Hugst!$R$4:$W$4,0))))</f>
        <v>927.74474516397311</v>
      </c>
      <c r="AG248">
        <f ca="1">IF($C248-AG$1&lt;År1,0,AF247*(1-VLOOKUP($A248,[1]Hugst!$R$5:$W$9,MATCH(ROUNDUP((AG$1)/10,0)*10,[1]Hugst!$R$4:$W$4,0))))</f>
        <v>927.98738742536841</v>
      </c>
      <c r="AH248">
        <f ca="1">IF($C248-AH$1&lt;År1,0,AG247*(1-VLOOKUP($A248,[1]Hugst!$R$5:$W$9,MATCH(ROUNDUP((AH$1)/10,0)*10,[1]Hugst!$R$4:$W$4,0))))</f>
        <v>928.23495441975695</v>
      </c>
      <c r="AI248">
        <f ca="1">IF($C248-AI$1&lt;År1,0,AH247*(1-VLOOKUP($A248,[1]Hugst!$R$5:$W$9,MATCH(ROUNDUP((AI$1)/10,0)*10,[1]Hugst!$R$4:$W$4,0))))</f>
        <v>928.48745997711308</v>
      </c>
      <c r="AJ248">
        <f>IF($C248-AJ$1&lt;År1,0,AI247*(1-VLOOKUP($A248,[1]Hugst!$R$5:$W$9,MATCH(ROUNDUP((AJ$1)/10,0)*10,[1]Hugst!$R$4:$W$4,0))))</f>
        <v>0</v>
      </c>
    </row>
    <row r="249" spans="1:36" x14ac:dyDescent="0.55000000000000004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26.048127263664355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643.40504273849047</v>
      </c>
      <c r="G249">
        <f ca="1">IF($C249-G$1&lt;År1,0,F248*(1-VLOOKUP($A249,[1]Hugst!$R$5:$W$9,MATCH(ROUNDUP((G$1)/10,0)*10,[1]Hugst!$R$4:$W$4,0))))</f>
        <v>644.67420879953033</v>
      </c>
      <c r="H249">
        <f ca="1">IF($C249-H$1&lt;År1,0,G248*(1-VLOOKUP($A249,[1]Hugst!$R$5:$W$9,MATCH(ROUNDUP((H$1)/10,0)*10,[1]Hugst!$R$4:$W$4,0))))</f>
        <v>645.43899585165263</v>
      </c>
      <c r="I249">
        <f ca="1">IF($C249-I$1&lt;År1,0,H248*(1-VLOOKUP($A249,[1]Hugst!$R$5:$W$9,MATCH(ROUNDUP((I$1)/10,0)*10,[1]Hugst!$R$4:$W$4,0))))</f>
        <v>646.21300458148062</v>
      </c>
      <c r="J249">
        <f ca="1">IF($C249-J$1&lt;År1,0,I248*(1-VLOOKUP($A249,[1]Hugst!$R$5:$W$9,MATCH(ROUNDUP((J$1)/10,0)*10,[1]Hugst!$R$4:$W$4,0))))</f>
        <v>646.99628458570851</v>
      </c>
      <c r="K249">
        <f ca="1">IF($C249-K$1&lt;År1,0,J248*(1-VLOOKUP($A249,[1]Hugst!$R$5:$W$9,MATCH(ROUNDUP((K$1)/10,0)*10,[1]Hugst!$R$4:$W$4,0))))</f>
        <v>647.78888570098252</v>
      </c>
      <c r="L249">
        <f ca="1">IF($C249-L$1&lt;År1,0,K248*(1-VLOOKUP($A249,[1]Hugst!$R$5:$W$9,MATCH(ROUNDUP((L$1)/10,0)*10,[1]Hugst!$R$4:$W$4,0))))</f>
        <v>648.59085800520052</v>
      </c>
      <c r="M249">
        <f ca="1">IF($C249-M$1&lt;År1,0,L248*(1-VLOOKUP($A249,[1]Hugst!$R$5:$W$9,MATCH(ROUNDUP((M$1)/10,0)*10,[1]Hugst!$R$4:$W$4,0))))</f>
        <v>649.40225181860978</v>
      </c>
      <c r="N249">
        <f ca="1">IF($C249-N$1&lt;År1,0,M248*(1-VLOOKUP($A249,[1]Hugst!$R$5:$W$9,MATCH(ROUNDUP((N$1)/10,0)*10,[1]Hugst!$R$4:$W$4,0))))</f>
        <v>650.2231177048684</v>
      </c>
      <c r="O249">
        <f ca="1">IF($C249-O$1&lt;År1,0,N248*(1-VLOOKUP($A249,[1]Hugst!$R$5:$W$9,MATCH(ROUNDUP((O$1)/10,0)*10,[1]Hugst!$R$4:$W$4,0))))</f>
        <v>651.05350647241403</v>
      </c>
      <c r="P249">
        <f ca="1">IF($C249-P$1&lt;År1,0,O248*(1-VLOOKUP($A249,[1]Hugst!$R$5:$W$9,MATCH(ROUNDUP((P$1)/10,0)*10,[1]Hugst!$R$4:$W$4,0))))</f>
        <v>650.46248351145425</v>
      </c>
      <c r="Q249">
        <f ca="1">IF($C249-Q$1&lt;År1,0,P248*(1-VLOOKUP($A249,[1]Hugst!$R$5:$W$9,MATCH(ROUNDUP((Q$1)/10,0)*10,[1]Hugst!$R$4:$W$4,0))))</f>
        <v>649.21594321021769</v>
      </c>
      <c r="R249">
        <f ca="1">IF($C249-R$1&lt;År1,0,Q248*(1-VLOOKUP($A249,[1]Hugst!$R$5:$W$9,MATCH(ROUNDUP((R$1)/10,0)*10,[1]Hugst!$R$4:$W$4,0))))</f>
        <v>647.06446965818589</v>
      </c>
      <c r="S249">
        <f ca="1">IF($C249-S$1&lt;År1,0,R248*(1-VLOOKUP($A249,[1]Hugst!$R$5:$W$9,MATCH(ROUNDUP((S$1)/10,0)*10,[1]Hugst!$R$4:$W$4,0))))</f>
        <v>644.91838339459298</v>
      </c>
      <c r="T249">
        <f ca="1">IF($C249-T$1&lt;År1,0,S248*(1-VLOOKUP($A249,[1]Hugst!$R$5:$W$9,MATCH(ROUNDUP((T$1)/10,0)*10,[1]Hugst!$R$4:$W$4,0))))</f>
        <v>642.77767446704388</v>
      </c>
      <c r="U249">
        <f ca="1">IF($C249-U$1&lt;År1,0,T248*(1-VLOOKUP($A249,[1]Hugst!$R$5:$W$9,MATCH(ROUNDUP((U$1)/10,0)*10,[1]Hugst!$R$4:$W$4,0))))</f>
        <v>640.64233295023087</v>
      </c>
      <c r="V249">
        <f ca="1">IF($C249-V$1&lt;År1,0,U248*(1-VLOOKUP($A249,[1]Hugst!$R$5:$W$9,MATCH(ROUNDUP((V$1)/10,0)*10,[1]Hugst!$R$4:$W$4,0))))</f>
        <v>638.51234894592324</v>
      </c>
      <c r="W249">
        <f ca="1">IF($C249-W$1&lt;År1,0,V248*(1-VLOOKUP($A249,[1]Hugst!$R$5:$W$9,MATCH(ROUNDUP((W$1)/10,0)*10,[1]Hugst!$R$4:$W$4,0))))</f>
        <v>636.38771258294958</v>
      </c>
      <c r="X249">
        <f ca="1">IF($C249-X$1&lt;År1,0,W248*(1-VLOOKUP($A249,[1]Hugst!$R$5:$W$9,MATCH(ROUNDUP((X$1)/10,0)*10,[1]Hugst!$R$4:$W$4,0))))</f>
        <v>634.26841401712306</v>
      </c>
      <c r="Y249">
        <f ca="1">IF($C249-Y$1&lt;År1,0,X248*(1-VLOOKUP($A249,[1]Hugst!$R$5:$W$9,MATCH(ROUNDUP((Y$1)/10,0)*10,[1]Hugst!$R$4:$W$4,0))))</f>
        <v>632.15444343119168</v>
      </c>
      <c r="Z249">
        <f ca="1">IF($C249-Z$1&lt;År1,0,Y248*(1-VLOOKUP($A249,[1]Hugst!$R$5:$W$9,MATCH(ROUNDUP((Z$1)/10,0)*10,[1]Hugst!$R$4:$W$4,0))))</f>
        <v>927.1141509565299</v>
      </c>
      <c r="AA249">
        <f ca="1">IF($C249-AA$1&lt;År1,0,Z248*(1-VLOOKUP($A249,[1]Hugst!$R$5:$W$9,MATCH(ROUNDUP((AA$1)/10,0)*10,[1]Hugst!$R$4:$W$4,0))))</f>
        <v>925.26179804259414</v>
      </c>
      <c r="AB249">
        <f ca="1">IF($C249-AB$1&lt;År1,0,AA248*(1-VLOOKUP($A249,[1]Hugst!$R$5:$W$9,MATCH(ROUNDUP((AB$1)/10,0)*10,[1]Hugst!$R$4:$W$4,0))))</f>
        <v>925.47491886537284</v>
      </c>
      <c r="AC249">
        <f ca="1">IF($C249-AC$1&lt;År1,0,AB248*(1-VLOOKUP($A249,[1]Hugst!$R$5:$W$9,MATCH(ROUNDUP((AC$1)/10,0)*10,[1]Hugst!$R$4:$W$4,0))))</f>
        <v>925.69287675184751</v>
      </c>
      <c r="AD249">
        <f ca="1">IF($C249-AD$1&lt;År1,0,AC248*(1-VLOOKUP($A249,[1]Hugst!$R$5:$W$9,MATCH(ROUNDUP((AD$1)/10,0)*10,[1]Hugst!$R$4:$W$4,0))))</f>
        <v>925.91568516903806</v>
      </c>
      <c r="AE249">
        <f ca="1">IF($C249-AE$1&lt;År1,0,AD248*(1-VLOOKUP($A249,[1]Hugst!$R$5:$W$9,MATCH(ROUNDUP((AE$1)/10,0)*10,[1]Hugst!$R$4:$W$4,0))))</f>
        <v>926.14335764105056</v>
      </c>
      <c r="AF249">
        <f ca="1">IF($C249-AF$1&lt;År1,0,AE248*(1-VLOOKUP($A249,[1]Hugst!$R$5:$W$9,MATCH(ROUNDUP((AF$1)/10,0)*10,[1]Hugst!$R$4:$W$4,0))))</f>
        <v>926.37590774944431</v>
      </c>
      <c r="AG249">
        <f ca="1">IF($C249-AG$1&lt;År1,0,AF248*(1-VLOOKUP($A249,[1]Hugst!$R$5:$W$9,MATCH(ROUNDUP((AG$1)/10,0)*10,[1]Hugst!$R$4:$W$4,0))))</f>
        <v>926.61334913328528</v>
      </c>
      <c r="AH249">
        <f ca="1">IF($C249-AH$1&lt;År1,0,AG248*(1-VLOOKUP($A249,[1]Hugst!$R$5:$W$9,MATCH(ROUNDUP((AH$1)/10,0)*10,[1]Hugst!$R$4:$W$4,0))))</f>
        <v>926.85569548948376</v>
      </c>
      <c r="AI249">
        <f ca="1">IF($C249-AI$1&lt;År1,0,AH248*(1-VLOOKUP($A249,[1]Hugst!$R$5:$W$9,MATCH(ROUNDUP((AI$1)/10,0)*10,[1]Hugst!$R$4:$W$4,0))))</f>
        <v>927.10296057290361</v>
      </c>
      <c r="AJ249">
        <f ca="1">IF($C249-AJ$1&lt;År1,0,AI248*(1-VLOOKUP($A249,[1]Hugst!$R$5:$W$9,MATCH(ROUNDUP((AJ$1)/10,0)*10,[1]Hugst!$R$4:$W$4,0))))</f>
        <v>927.86469399786017</v>
      </c>
    </row>
    <row r="250" spans="1:36" x14ac:dyDescent="0.55000000000000004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55000000000000004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55000000000000004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55000000000000004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55000000000000004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55000000000000004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55000000000000004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55000000000000004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55000000000000004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55000000000000004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55000000000000004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55000000000000004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55000000000000004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55000000000000004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55000000000000004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55000000000000004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55000000000000004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55000000000000004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55000000000000004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55000000000000004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55000000000000004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55000000000000004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55000000000000004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55000000000000004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55000000000000004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55000000000000004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55000000000000004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55000000000000004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55000000000000004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55000000000000004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55000000000000004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55000000000000004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55000000000000004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55000000000000004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55000000000000004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55000000000000004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55000000000000004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55000000000000004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55000000000000004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55000000000000004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55000000000000004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55000000000000004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55000000000000004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55000000000000004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55000000000000004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55000000000000004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55000000000000004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55000000000000004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55000000000000004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55000000000000004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55000000000000004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55000000000000004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55000000000000004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55000000000000004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55000000000000004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55000000000000004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55000000000000004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55000000000000004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55000000000000004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55000000000000004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55000000000000004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55000000000000004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295" t="s">
        <v>271</v>
      </c>
      <c r="F1" s="73"/>
    </row>
    <row r="2" spans="1:7" s="298" customFormat="1" x14ac:dyDescent="0.55000000000000004">
      <c r="A2" s="297"/>
      <c r="C2" s="416" t="s">
        <v>317</v>
      </c>
      <c r="D2" s="416"/>
      <c r="E2" s="416"/>
    </row>
    <row r="3" spans="1:7" x14ac:dyDescent="0.55000000000000004">
      <c r="B3" s="302"/>
      <c r="C3" s="2">
        <f>År1</f>
        <v>2019</v>
      </c>
      <c r="D3" s="2">
        <f>År2</f>
        <v>2030</v>
      </c>
      <c r="E3" s="2">
        <f>År3</f>
        <v>2050</v>
      </c>
      <c r="F3" s="303" t="s">
        <v>318</v>
      </c>
      <c r="G3" s="1" t="s">
        <v>314</v>
      </c>
    </row>
    <row r="4" spans="1:7" x14ac:dyDescent="0.55000000000000004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9">
        <v>150000</v>
      </c>
      <c r="G4" s="417"/>
    </row>
    <row r="5" spans="1:7" x14ac:dyDescent="0.55000000000000004">
      <c r="A5" s="102" t="s">
        <v>98</v>
      </c>
      <c r="B5" s="2" t="s">
        <v>24</v>
      </c>
      <c r="C5" s="300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17"/>
    </row>
    <row r="6" spans="1:7" x14ac:dyDescent="0.55000000000000004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9">
        <v>47000</v>
      </c>
      <c r="G6" s="418"/>
    </row>
    <row r="7" spans="1:7" x14ac:dyDescent="0.55000000000000004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9">
        <v>20000</v>
      </c>
      <c r="G7" s="418"/>
    </row>
    <row r="8" spans="1:7" x14ac:dyDescent="0.55000000000000004">
      <c r="A8" s="296"/>
      <c r="C8" s="1" t="s">
        <v>240</v>
      </c>
      <c r="F8" s="73"/>
    </row>
    <row r="9" spans="1:7" x14ac:dyDescent="0.55000000000000004">
      <c r="A9" s="296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55000000000000004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55000000000000004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05" t="s">
        <v>271</v>
      </c>
    </row>
    <row r="2" spans="1:10" ht="15.6" x14ac:dyDescent="0.6">
      <c r="A2" s="203" t="s">
        <v>25</v>
      </c>
    </row>
    <row r="3" spans="1:10" x14ac:dyDescent="0.55000000000000004">
      <c r="A3" s="6" t="s">
        <v>301</v>
      </c>
    </row>
    <row r="4" spans="1:10" x14ac:dyDescent="0.55000000000000004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55000000000000004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970843.15347329958</v>
      </c>
      <c r="J5" s="10">
        <f>SUMIFS('Resultat-Produktion &amp; forbrug'!$O$4:$O$1001,'Resultat-Produktion &amp; forbrug'!$A$4:$A$1001,Adfærd!$G5,'Resultat-Produktion &amp; forbrug'!$E$4:$E$1001,Adfærd!J$4)</f>
        <v>1913259.3368418217</v>
      </c>
    </row>
    <row r="6" spans="1:10" x14ac:dyDescent="0.55000000000000004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55000000000000004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382.5</v>
      </c>
      <c r="J7" s="10">
        <f>SUMIFS('Resultat-Produktion &amp; forbrug'!$O$4:$O$1001,'Resultat-Produktion &amp; forbrug'!$A$4:$A$1001,Adfærd!$G7,'Resultat-Produktion &amp; forbrug'!$E$4:$E$1001,Adfærd!J$4)</f>
        <v>382.5</v>
      </c>
    </row>
    <row r="8" spans="1:10" x14ac:dyDescent="0.55000000000000004">
      <c r="A8" s="2" t="s">
        <v>206</v>
      </c>
      <c r="B8" s="84">
        <v>0</v>
      </c>
      <c r="C8" s="3"/>
      <c r="D8" s="3"/>
    </row>
    <row r="9" spans="1:10" x14ac:dyDescent="0.55000000000000004">
      <c r="A9" s="1" t="s">
        <v>221</v>
      </c>
      <c r="B9" s="13"/>
      <c r="C9" s="13"/>
      <c r="D9" s="13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55000000000000004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B14" s="13"/>
      <c r="C14" s="13"/>
      <c r="D14" s="13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55000000000000004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55000000000000004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55000000000000004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55000000000000004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55000000000000004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55000000000000004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55000000000000004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55000000000000004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55000000000000004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55000000000000004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55000000000000004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55000000000000004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55000000000000004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55000000000000004">
      <c r="A31" s="288" t="s">
        <v>30</v>
      </c>
      <c r="B31" s="287">
        <f>SUM(B17:B30)</f>
        <v>1267</v>
      </c>
      <c r="C31" s="287">
        <f>SUM(C17:C30)</f>
        <v>1267</v>
      </c>
      <c r="D31" s="287">
        <f>SUM(D17:D30)</f>
        <v>1267</v>
      </c>
    </row>
    <row r="32" spans="1:9" hidden="1" x14ac:dyDescent="0.55000000000000004">
      <c r="A32" s="4" t="s">
        <v>18</v>
      </c>
      <c r="B32" s="97">
        <v>134</v>
      </c>
      <c r="C32" s="13"/>
    </row>
    <row r="33" spans="1:4" hidden="1" x14ac:dyDescent="0.55000000000000004">
      <c r="A33" s="4" t="s">
        <v>20</v>
      </c>
      <c r="B33" s="99">
        <v>0.33</v>
      </c>
      <c r="C33" s="13" t="s">
        <v>152</v>
      </c>
    </row>
    <row r="34" spans="1:4" hidden="1" x14ac:dyDescent="0.55000000000000004">
      <c r="A34" s="5" t="s">
        <v>21</v>
      </c>
      <c r="B34" s="110">
        <v>0.67</v>
      </c>
      <c r="C34" s="13"/>
    </row>
    <row r="36" spans="1:4" x14ac:dyDescent="0.55000000000000004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16" sqref="E16"/>
    </sheetView>
  </sheetViews>
  <sheetFormatPr defaultColWidth="9.15625" defaultRowHeight="11.7" x14ac:dyDescent="0.45"/>
  <cols>
    <col min="1" max="1" width="15.83984375" style="114" customWidth="1"/>
    <col min="2" max="2" width="10.15625" style="114" bestFit="1" customWidth="1"/>
    <col min="3" max="3" width="10.15625" style="114" customWidth="1"/>
    <col min="4" max="4" width="11.83984375" style="114" bestFit="1" customWidth="1"/>
    <col min="5" max="5" width="11" style="114" customWidth="1"/>
    <col min="6" max="6" width="13.41796875" style="114" customWidth="1"/>
    <col min="7" max="7" width="24.26171875" style="114" customWidth="1"/>
    <col min="8" max="8" width="10" style="114" hidden="1" customWidth="1"/>
    <col min="9" max="12" width="9.26171875" style="114" hidden="1" customWidth="1"/>
    <col min="13" max="13" width="24.26171875" style="114" hidden="1" customWidth="1"/>
    <col min="14" max="14" width="12.68359375" style="114" hidden="1" customWidth="1"/>
    <col min="15" max="15" width="9.26171875" style="114" hidden="1" customWidth="1"/>
    <col min="16" max="16" width="9.83984375" style="114" hidden="1" customWidth="1"/>
    <col min="17" max="22" width="0" style="114" hidden="1" customWidth="1"/>
    <col min="23" max="23" width="2.578125" style="114" hidden="1" customWidth="1"/>
    <col min="24" max="16384" width="9.15625" style="114"/>
  </cols>
  <sheetData>
    <row r="1" spans="1:29" ht="12" thickBot="1" x14ac:dyDescent="0.5">
      <c r="A1" s="204" t="s">
        <v>271</v>
      </c>
    </row>
    <row r="2" spans="1:29" ht="46.5" customHeight="1" x14ac:dyDescent="0.45">
      <c r="A2" s="208" t="s">
        <v>138</v>
      </c>
      <c r="B2" s="208">
        <f>År1</f>
        <v>2019</v>
      </c>
      <c r="C2" s="208">
        <f>År2</f>
        <v>2030</v>
      </c>
      <c r="D2" s="208">
        <f>År3</f>
        <v>2050</v>
      </c>
      <c r="E2" s="113"/>
      <c r="F2" s="422" t="s">
        <v>324</v>
      </c>
      <c r="G2" s="423"/>
      <c r="M2" s="113"/>
      <c r="Z2" s="320" t="s">
        <v>150</v>
      </c>
      <c r="AA2" s="208">
        <f>År1</f>
        <v>2019</v>
      </c>
      <c r="AB2" s="208">
        <f>År2</f>
        <v>2030</v>
      </c>
      <c r="AC2" s="208">
        <f>År3</f>
        <v>2050</v>
      </c>
    </row>
    <row r="3" spans="1:29" x14ac:dyDescent="0.45">
      <c r="A3" s="161" t="s">
        <v>135</v>
      </c>
      <c r="B3" s="209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4"/>
      <c r="Z3" s="161" t="s">
        <v>110</v>
      </c>
      <c r="AA3" s="209">
        <f>SUM(C12:C14)/SUM(C12:C15)</f>
        <v>0.73155031690147754</v>
      </c>
      <c r="AB3" s="209">
        <f>SUM(D12:D14)/SUM(D12:D15)</f>
        <v>0.68542530205917229</v>
      </c>
      <c r="AC3" s="209">
        <f>SUM(E12:E14)/SUM(E12:E15)</f>
        <v>0.10141632635720779</v>
      </c>
    </row>
    <row r="4" spans="1:29" x14ac:dyDescent="0.45">
      <c r="A4" s="161" t="s">
        <v>136</v>
      </c>
      <c r="B4" s="209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4"/>
      <c r="Z4" s="208" t="s">
        <v>202</v>
      </c>
      <c r="AA4" s="161"/>
      <c r="AB4" s="161"/>
      <c r="AC4" s="161"/>
    </row>
    <row r="5" spans="1:29" x14ac:dyDescent="0.45">
      <c r="A5" s="161" t="s">
        <v>137</v>
      </c>
      <c r="B5" s="209">
        <v>0.5</v>
      </c>
      <c r="C5" s="162">
        <v>0.75</v>
      </c>
      <c r="D5" s="162">
        <v>0.9</v>
      </c>
      <c r="E5" s="134"/>
      <c r="F5" s="155"/>
      <c r="G5" s="156"/>
      <c r="N5" s="224"/>
      <c r="Z5" s="161" t="s">
        <v>135</v>
      </c>
      <c r="AA5" s="321">
        <f t="shared" ref="AA5:AC6" si="0">C12/C$29</f>
        <v>0.22267199142680771</v>
      </c>
      <c r="AB5" s="321">
        <f t="shared" si="0"/>
        <v>0.28127550137093515</v>
      </c>
      <c r="AC5" s="321">
        <f t="shared" si="0"/>
        <v>0</v>
      </c>
    </row>
    <row r="6" spans="1:29" x14ac:dyDescent="0.45">
      <c r="A6" s="161" t="s">
        <v>140</v>
      </c>
      <c r="B6" s="209">
        <f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21">
        <f t="shared" si="0"/>
        <v>0.33257225498473725</v>
      </c>
      <c r="AB6" s="321">
        <f t="shared" si="0"/>
        <v>0.30266611601927834</v>
      </c>
      <c r="AC6" s="321">
        <f t="shared" si="0"/>
        <v>8.3654786233334846E-2</v>
      </c>
    </row>
    <row r="7" spans="1:29" x14ac:dyDescent="0.45">
      <c r="A7" s="161" t="s">
        <v>101</v>
      </c>
      <c r="B7" s="209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" thickBot="1" x14ac:dyDescent="0.5">
      <c r="A8" s="161" t="s">
        <v>208</v>
      </c>
      <c r="B8" s="209">
        <v>0</v>
      </c>
      <c r="C8" s="162">
        <v>0.75</v>
      </c>
      <c r="D8" s="162">
        <v>0.9</v>
      </c>
      <c r="F8" s="158"/>
      <c r="G8" s="159"/>
      <c r="I8" s="141"/>
    </row>
    <row r="10" spans="1:29" ht="23.5" customHeight="1" x14ac:dyDescent="0.45">
      <c r="B10" s="115"/>
      <c r="C10" s="420" t="s">
        <v>210</v>
      </c>
      <c r="D10" s="420"/>
      <c r="E10" s="420"/>
      <c r="F10" s="419" t="s">
        <v>325</v>
      </c>
      <c r="G10" s="419"/>
      <c r="J10" s="421" t="s">
        <v>211</v>
      </c>
      <c r="K10" s="421"/>
      <c r="L10" s="421"/>
    </row>
    <row r="11" spans="1:29" x14ac:dyDescent="0.45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45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5715341.1010015961</v>
      </c>
      <c r="E12" s="118">
        <f>SUMIFS('Resultater - Danmark'!J$3:J$504,'Resultater - Danmark'!$F$3:$F$504,$A12)*D3</f>
        <v>0</v>
      </c>
      <c r="F12" s="217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1905113.7003338654</v>
      </c>
      <c r="G12" s="217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0.28127550137093515</v>
      </c>
      <c r="L12" s="119">
        <f t="shared" ref="L12:L28" si="3">E12/E$29</f>
        <v>0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45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6149984.92344434</v>
      </c>
      <c r="E13" s="121">
        <f>SUMIFS('Resultater - Danmark'!J$3:J$504,'Resultater - Danmark'!$F$3:$F$504,$A13)*D4</f>
        <v>756558.64442740742</v>
      </c>
      <c r="F13" s="218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2049994.9744814476</v>
      </c>
      <c r="G13" s="218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84062.071603045217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0.30266611601927834</v>
      </c>
      <c r="L13" s="122">
        <f t="shared" si="3"/>
        <v>8.3654786233334846E-2</v>
      </c>
      <c r="M13" s="114" t="s">
        <v>213</v>
      </c>
      <c r="N13" s="114">
        <f>S13+1/3*T13</f>
        <v>4353509.666666667</v>
      </c>
      <c r="O13" s="136">
        <f t="shared" si="4"/>
        <v>0</v>
      </c>
      <c r="P13" s="115">
        <f t="shared" ref="P13:P28" si="5">C13*I13</f>
        <v>61384486.300000004</v>
      </c>
      <c r="Q13" s="114">
        <f t="shared" ref="Q13:Q28" si="6">P13*35.9/1000000000</f>
        <v>2.2037030581699999</v>
      </c>
      <c r="S13" s="114">
        <v>4154642</v>
      </c>
      <c r="T13" s="114">
        <v>596603</v>
      </c>
    </row>
    <row r="14" spans="1:29" x14ac:dyDescent="0.45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6572.2723545464542</v>
      </c>
      <c r="E14" s="121">
        <f>SUMIFS('Resultater - Danmark'!J$3:J$504,'Resultater - Danmark'!$F$3:$F$504,$A14)*D5</f>
        <v>5480.9700138047256</v>
      </c>
      <c r="F14" s="218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2190.7574515154847</v>
      </c>
      <c r="G14" s="218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608.99666820052425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3.2344862170123595E-4</v>
      </c>
      <c r="L14" s="122">
        <f t="shared" si="3"/>
        <v>6.0604604578032436E-4</v>
      </c>
      <c r="M14" s="114" t="s">
        <v>145</v>
      </c>
      <c r="N14" s="115">
        <v>11417</v>
      </c>
      <c r="O14" s="136">
        <f t="shared" si="4"/>
        <v>6975.5</v>
      </c>
      <c r="P14" s="115">
        <f t="shared" si="5"/>
        <v>58183.65</v>
      </c>
      <c r="Q14" s="114">
        <f t="shared" si="6"/>
        <v>2.0887930350000001E-3</v>
      </c>
    </row>
    <row r="15" spans="1:29" x14ac:dyDescent="0.45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5448586.1690262407</v>
      </c>
      <c r="E15" s="121">
        <f>SUMIFS('Resultater - Danmark'!J$3:J$504,'Resultater - Danmark'!$F$3:$F$504,$A15)*D6</f>
        <v>6751934.139224072</v>
      </c>
      <c r="F15" s="218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1816195.3896754142</v>
      </c>
      <c r="G15" s="218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750214.90435823053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0.26814739127066683</v>
      </c>
      <c r="L15" s="122">
        <f t="shared" si="3"/>
        <v>0.74658007180108521</v>
      </c>
      <c r="M15" s="124" t="s">
        <v>291</v>
      </c>
      <c r="N15" s="125">
        <f>SUM(S15:Z15)</f>
        <v>2668834</v>
      </c>
      <c r="O15" s="136">
        <f t="shared" si="4"/>
        <v>0</v>
      </c>
      <c r="P15" s="115">
        <f>C15*I15</f>
        <v>37096792.600000001</v>
      </c>
      <c r="Q15" s="114">
        <f t="shared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45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2106143.9491047468</v>
      </c>
      <c r="E16" s="121">
        <f>SUMIFS('Resultater - Danmark'!J$3:J$504,'Resultater - Danmark'!$F$3:$F$504,$A16)*D7</f>
        <v>407102.04197368224</v>
      </c>
      <c r="F16" s="218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702047.98303491576</v>
      </c>
      <c r="G16" s="218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45233.560219298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0.10365202789733435</v>
      </c>
      <c r="L16" s="122">
        <f t="shared" si="3"/>
        <v>4.5014401127142514E-2</v>
      </c>
      <c r="M16" s="222" t="s">
        <v>156</v>
      </c>
      <c r="N16" s="223">
        <v>757087</v>
      </c>
      <c r="O16" s="136">
        <f t="shared" si="4"/>
        <v>0</v>
      </c>
      <c r="P16" s="115">
        <f t="shared" si="5"/>
        <v>45425220</v>
      </c>
      <c r="Q16" s="114">
        <f t="shared" si="6"/>
        <v>1.6307653980000001</v>
      </c>
    </row>
    <row r="17" spans="1:23" x14ac:dyDescent="0.45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0</v>
      </c>
      <c r="E17" s="121">
        <f>SUMIFS('Resultater - Danmark'!J$3:J$504,'Resultater - Danmark'!$F$3:$F$504,$A17)*D8</f>
        <v>0</v>
      </c>
      <c r="F17" s="218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0</v>
      </c>
      <c r="G17" s="218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0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</v>
      </c>
      <c r="L17" s="122">
        <f t="shared" si="3"/>
        <v>0</v>
      </c>
      <c r="M17" s="114" t="s">
        <v>149</v>
      </c>
      <c r="N17" s="115"/>
      <c r="O17" s="136"/>
      <c r="P17" s="115">
        <f t="shared" si="5"/>
        <v>0</v>
      </c>
      <c r="Q17" s="114">
        <f t="shared" si="6"/>
        <v>0</v>
      </c>
    </row>
    <row r="18" spans="1:23" x14ac:dyDescent="0.45">
      <c r="A18" s="114" t="s">
        <v>102</v>
      </c>
      <c r="B18" s="114" t="s">
        <v>139</v>
      </c>
      <c r="C18" s="225">
        <f t="shared" ref="C18" si="7">N18</f>
        <v>729134</v>
      </c>
      <c r="D18" s="226"/>
      <c r="E18" s="226"/>
      <c r="F18" s="218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8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45">
      <c r="A19" s="114" t="s">
        <v>103</v>
      </c>
      <c r="B19" s="114" t="s">
        <v>139</v>
      </c>
      <c r="C19" s="225">
        <f>N19</f>
        <v>995654</v>
      </c>
      <c r="D19" s="226"/>
      <c r="E19" s="226"/>
      <c r="F19" s="218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591642.55905312812</v>
      </c>
      <c r="G19" s="218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382368.42148557794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45">
      <c r="A20" s="114" t="s">
        <v>67</v>
      </c>
      <c r="B20" s="114" t="s">
        <v>139</v>
      </c>
      <c r="C20" s="225">
        <f>N20</f>
        <v>75934</v>
      </c>
      <c r="D20" s="226"/>
      <c r="E20" s="226"/>
      <c r="F20" s="218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2030745.7283449171</v>
      </c>
      <c r="G20" s="218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1328675.8469298114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45">
      <c r="A21" s="114" t="s">
        <v>48</v>
      </c>
      <c r="B21" s="114" t="s">
        <v>139</v>
      </c>
      <c r="C21" s="225">
        <f t="shared" ref="C21:C28" si="9">N21</f>
        <v>3786</v>
      </c>
      <c r="D21" s="226"/>
      <c r="E21" s="226"/>
      <c r="F21" s="218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1533027.3585011042</v>
      </c>
      <c r="G21" s="218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-1117452.9738889411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45">
      <c r="A22" s="114" t="s">
        <v>51</v>
      </c>
      <c r="B22" s="114" t="s">
        <v>139</v>
      </c>
      <c r="C22" s="225">
        <f t="shared" si="9"/>
        <v>85677</v>
      </c>
      <c r="D22" s="226"/>
      <c r="E22" s="226"/>
      <c r="F22" s="218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6944514.2456381917</v>
      </c>
      <c r="G22" s="218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34880161.601057798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45">
      <c r="A23" s="114" t="s">
        <v>53</v>
      </c>
      <c r="B23" s="114" t="s">
        <v>139</v>
      </c>
      <c r="C23" s="225">
        <f t="shared" si="9"/>
        <v>330026</v>
      </c>
      <c r="D23" s="226"/>
      <c r="E23" s="226"/>
      <c r="F23" s="218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1557264.9415271776</v>
      </c>
      <c r="G23" s="218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-516494.58495904895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45">
      <c r="A24" s="114" t="s">
        <v>52</v>
      </c>
      <c r="B24" s="114" t="s">
        <v>139</v>
      </c>
      <c r="C24" s="225">
        <f t="shared" si="9"/>
        <v>28645</v>
      </c>
      <c r="D24" s="226"/>
      <c r="E24" s="226"/>
      <c r="F24" s="218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1725580.0951351211</v>
      </c>
      <c r="G24" s="218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-79045.945262496723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45">
      <c r="A25" s="114" t="s">
        <v>162</v>
      </c>
      <c r="B25" s="114" t="s">
        <v>139</v>
      </c>
      <c r="C25" s="225">
        <f t="shared" si="9"/>
        <v>78</v>
      </c>
      <c r="D25" s="226">
        <v>750000</v>
      </c>
      <c r="E25" s="226">
        <v>980000</v>
      </c>
      <c r="F25" s="218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8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3.6910592438871563E-2</v>
      </c>
      <c r="L25" s="122">
        <f t="shared" si="3"/>
        <v>0.1083613162211834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45">
      <c r="A26" s="114" t="s">
        <v>158</v>
      </c>
      <c r="B26" s="114" t="s">
        <v>139</v>
      </c>
      <c r="C26" s="225">
        <f t="shared" si="9"/>
        <v>142742</v>
      </c>
      <c r="D26" s="226">
        <f>C26</f>
        <v>142742</v>
      </c>
      <c r="E26" s="226">
        <f>C26</f>
        <v>142742</v>
      </c>
      <c r="F26" s="218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8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7.0249223812125393E-3</v>
      </c>
      <c r="L26" s="122">
        <f t="shared" si="3"/>
        <v>1.5783378571473636E-2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45">
      <c r="A27" s="114" t="s">
        <v>106</v>
      </c>
      <c r="B27" s="114" t="s">
        <v>139</v>
      </c>
      <c r="C27" s="225">
        <f t="shared" si="9"/>
        <v>0</v>
      </c>
      <c r="D27" s="226"/>
      <c r="E27" s="226"/>
      <c r="F27" s="218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8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" thickBot="1" x14ac:dyDescent="0.5">
      <c r="A28" s="126" t="s">
        <v>99</v>
      </c>
      <c r="B28" s="126" t="s">
        <v>139</v>
      </c>
      <c r="C28" s="227">
        <f t="shared" si="9"/>
        <v>0</v>
      </c>
      <c r="D28" s="228"/>
      <c r="E28" s="228"/>
      <c r="F28" s="219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9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45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20319370.414931469</v>
      </c>
      <c r="E29" s="129">
        <f>SUM(E12:E28)</f>
        <v>9043817.7956389673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0.99999999999999989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45">
      <c r="A30" s="132" t="s">
        <v>123</v>
      </c>
      <c r="C30" s="133">
        <f>SUMPRODUCT(C12:C28,$H$12:$H$28)/C29</f>
        <v>0.13822427556900557</v>
      </c>
      <c r="D30" s="133">
        <f>SUMPRODUCT(D12:D28,$H$12:$H$28)/D29</f>
        <v>0.10166683686937217</v>
      </c>
      <c r="E30" s="133">
        <f>SUMPRODUCT(E12:E28,$H$12:$H$28)/E29</f>
        <v>0.11140850488150678</v>
      </c>
      <c r="F30" s="142"/>
      <c r="G30" s="142"/>
    </row>
    <row r="31" spans="1:23" x14ac:dyDescent="0.45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45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453395215.21617842</v>
      </c>
      <c r="E32" s="114">
        <f>SUMPRODUCT(E12:E28,$I$12:$I$28)</f>
        <v>235802537.76724285</v>
      </c>
    </row>
    <row r="33" spans="1:15" x14ac:dyDescent="0.45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16.276888226260805</v>
      </c>
      <c r="E33" s="114">
        <f>E32*[1]Energiindhold!$C$10</f>
        <v>8.4653111058440196</v>
      </c>
    </row>
    <row r="34" spans="1:15" x14ac:dyDescent="0.45">
      <c r="C34" s="229"/>
    </row>
    <row r="35" spans="1:15" x14ac:dyDescent="0.45">
      <c r="A35" s="161"/>
      <c r="B35" s="161" t="s">
        <v>27</v>
      </c>
      <c r="C35" s="161" t="s">
        <v>28</v>
      </c>
    </row>
    <row r="36" spans="1:15" x14ac:dyDescent="0.45">
      <c r="A36" s="161" t="s">
        <v>158</v>
      </c>
      <c r="B36" s="162">
        <v>0.8</v>
      </c>
      <c r="C36" s="162">
        <v>0.2</v>
      </c>
    </row>
    <row r="38" spans="1:15" hidden="1" x14ac:dyDescent="0.45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45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4992012.841626931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723328.25937466533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45">
      <c r="A40" s="114" t="str">
        <f t="shared" si="10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5741886.057452837</v>
      </c>
      <c r="E40" s="121">
        <f>SUMIFS('Resultater - Vestdanmark'!J$3:J$504,'Resultater - Vestdanmark'!$F$3:$F$504,$A40)*D4</f>
        <v>706355.15146112291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408098.865991503</v>
      </c>
      <c r="M40" s="121">
        <f>SUMIFS('Resultater - Østdanmark'!J$3:J$504,'Resultater - Østdanmark'!$F$3:$F$504,$A40)*D4</f>
        <v>50203.492966284524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45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6063.3754879128683</v>
      </c>
      <c r="E41" s="121">
        <f>SUMIFS('Resultater - Vestdanmark'!J$3:J$504,'Resultater - Vestdanmark'!$F$3:$F$504,$A41)*D5</f>
        <v>5056.5736535095893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508.89686663358577</v>
      </c>
      <c r="M41" s="121">
        <f>SUMIFS('Resultater - Østdanmark'!J$3:J$504,'Resultater - Østdanmark'!$F$3:$F$504,$A41)*D5</f>
        <v>424.39636029513713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45">
      <c r="A42" s="114" t="str">
        <f t="shared" si="10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2943192.4535522191</v>
      </c>
      <c r="E42" s="121">
        <f>SUMIFS('Resultater - Vestdanmark'!J$3:J$504,'Resultater - Vestdanmark'!$F$3:$F$504,$A42)*D6</f>
        <v>3608845.3408527621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2505393.7154740216</v>
      </c>
      <c r="M42" s="121">
        <f>SUMIFS('Resultater - Østdanmark'!J$3:J$504,'Resultater - Østdanmark'!$F$3:$F$504,$A42)*D6</f>
        <v>3143088.7983713108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45">
      <c r="A43" s="114" t="str">
        <f t="shared" si="10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1849052.8375378796</v>
      </c>
      <c r="E43" s="121">
        <f>SUMIFS('Resultater - Vestdanmark'!J$3:J$504,'Resultater - Vestdanmark'!$F$3:$F$504,$A43)*D7</f>
        <v>356969.53284222382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257091.11156686768</v>
      </c>
      <c r="M43" s="121">
        <f>SUMIFS('Resultater - Østdanmark'!J$3:J$504,'Resultater - Østdanmark'!$F$3:$F$504,$A43)*D7</f>
        <v>50132.50913145845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45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0</v>
      </c>
      <c r="M44" s="121">
        <f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45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45">
      <c r="A46" s="114" t="str">
        <f t="shared" si="10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45">
      <c r="A47" s="114" t="str">
        <f t="shared" si="10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45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45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45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45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45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45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45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" hidden="1" thickBot="1" x14ac:dyDescent="0.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45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16048361.854256775</v>
      </c>
      <c r="E56" s="129">
        <f ca="1">SUM(E39:E55)</f>
        <v>5314801.9907331867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4271008.5606746925</v>
      </c>
      <c r="M56" s="129">
        <f ca="1">SUM(M39:M55)</f>
        <v>3729015.8049057811</v>
      </c>
      <c r="N56" s="130"/>
      <c r="O56" s="130"/>
    </row>
    <row r="57" spans="1:15" hidden="1" x14ac:dyDescent="0.45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0.10225565917947058</v>
      </c>
      <c r="E57" s="133">
        <f ca="1">SUMPRODUCT(E39:E55,$F$39:$F$55)/E56</f>
        <v>0.11993145081293755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9.9454330533672891E-2</v>
      </c>
      <c r="M57" s="133">
        <f ca="1">SUMPRODUCT(M39:M55,$N$39:$N$55)/M56</f>
        <v>9.926112541915981E-2</v>
      </c>
    </row>
    <row r="58" spans="1:15" hidden="1" x14ac:dyDescent="0.45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45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360155466.15188104</v>
      </c>
      <c r="E59" s="114">
        <f ca="1">SUMPRODUCT(E39:E55,$I$12:$I$28)</f>
        <v>154707932.21283442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93239749.064297393</v>
      </c>
      <c r="M59" s="114">
        <f ca="1">SUMPRODUCT(M39:M55,$I$12:$I$28)</f>
        <v>81094605.554408416</v>
      </c>
    </row>
    <row r="60" spans="1:15" hidden="1" x14ac:dyDescent="0.45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12.929581234852531</v>
      </c>
      <c r="E60" s="114">
        <f ca="1">E59*[1]Energiindhold!$C$10</f>
        <v>5.5540147664407558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3.3473069914082769</v>
      </c>
      <c r="M60" s="114">
        <f ca="1">M59*[1]Energiindhold!$C$10</f>
        <v>2.9112963394032625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13.26171875" style="1" bestFit="1" customWidth="1"/>
    <col min="5" max="5" width="45.68359375" style="1" customWidth="1"/>
    <col min="6" max="16384" width="9.15625" style="1"/>
  </cols>
  <sheetData>
    <row r="1" spans="1:4" x14ac:dyDescent="0.55000000000000004">
      <c r="A1" s="205" t="s">
        <v>271</v>
      </c>
    </row>
    <row r="2" spans="1:4" ht="15.6" x14ac:dyDescent="0.6">
      <c r="A2" s="203" t="s">
        <v>308</v>
      </c>
    </row>
    <row r="3" spans="1:4" x14ac:dyDescent="0.55000000000000004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3">
        <v>0</v>
      </c>
      <c r="C4" s="388">
        <v>0</v>
      </c>
      <c r="D4" s="388">
        <v>0</v>
      </c>
    </row>
    <row r="5" spans="1:4" x14ac:dyDescent="0.55000000000000004">
      <c r="A5" s="285"/>
    </row>
    <row r="6" spans="1:4" x14ac:dyDescent="0.55000000000000004">
      <c r="A6" s="285"/>
    </row>
    <row r="7" spans="1:4" ht="15.6" x14ac:dyDescent="0.6">
      <c r="A7" s="203" t="s">
        <v>294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55000000000000004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22">
        <f>SUMIFS('Forbrug af biomasse'!$E$2:$E$403,'Forbrug af biomasse'!$D$2:$D$403,'Forbrug til andet'!B$15,'Forbrug af biomasse'!$C$2:$C$403,'Forbrug til andet'!$A16,'Forbrug af biomasse'!$A$2:$A$403,"Materialer")</f>
        <v>0</v>
      </c>
      <c r="C16" s="322">
        <f>SUMIFS('Forbrug af biomasse'!$E$2:$E$403,'Forbrug af biomasse'!$D$2:$D$403,'Forbrug til andet'!C$15,'Forbrug af biomasse'!$C$2:$C$403,'Forbrug til andet'!$A16,'Forbrug af biomasse'!$A$2:$A$403,"Materialer")</f>
        <v>0</v>
      </c>
      <c r="D16" s="322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55000000000000004">
      <c r="A17" s="2" t="str">
        <f>A10</f>
        <v>Rapsolie</v>
      </c>
      <c r="B17" s="322">
        <v>0</v>
      </c>
      <c r="C17" s="322">
        <f>SUMIFS('Forbrug af biomasse'!$E$2:$E$403,'Forbrug af biomasse'!$D$2:$D$403,'Forbrug til andet'!C$15,'Forbrug af biomasse'!$C$2:$C$403,'Forbrug til andet'!$A17,'Forbrug af biomasse'!$A$2:$A$403,"Materialer")</f>
        <v>0</v>
      </c>
      <c r="D17" s="322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55000000000000004">
      <c r="A18" s="2" t="str">
        <f>A11</f>
        <v>Pil &amp; poppel</v>
      </c>
      <c r="B18" s="322">
        <f>SUMIFS('Forbrug af biomasse'!$E$2:$E$403,'Forbrug af biomasse'!$D$2:$D$403,'Forbrug til andet'!B$15,'Forbrug af biomasse'!$C$2:$C$403,'Forbrug til andet'!$A18,'Forbrug af biomasse'!$A$2:$A$403,"Materialer")</f>
        <v>0</v>
      </c>
      <c r="C18" s="322">
        <f>SUMIFS('Forbrug af biomasse'!$E$2:$E$403,'Forbrug af biomasse'!$D$2:$D$403,'Forbrug til andet'!C$15,'Forbrug af biomasse'!$C$2:$C$403,'Forbrug til andet'!$A18,'Forbrug af biomasse'!$A$2:$A$403,"Materialer")</f>
        <v>0</v>
      </c>
      <c r="D18" s="322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55000000000000004">
      <c r="A19" s="2" t="str">
        <f t="shared" ref="A19:A20" si="0">A12</f>
        <v>Have/parkaffald</v>
      </c>
      <c r="B19" s="322">
        <f>SUMIFS('Forbrug af biomasse'!$E$2:$E$403,'Forbrug af biomasse'!$D$2:$D$403,'Forbrug til andet'!B$15,'Forbrug af biomasse'!$C$2:$C$403,'Forbrug til andet'!$A19,'Forbrug af biomasse'!$A$2:$A$403,"Materialer")</f>
        <v>0</v>
      </c>
      <c r="C19" s="322">
        <f>SUMIFS('Forbrug af biomasse'!$E$2:$E$403,'Forbrug af biomasse'!$D$2:$D$403,'Forbrug til andet'!C$15,'Forbrug af biomasse'!$C$2:$C$403,'Forbrug til andet'!$A19,'Forbrug af biomasse'!$A$2:$A$403,"Materialer")</f>
        <v>0</v>
      </c>
      <c r="D19" s="322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55000000000000004">
      <c r="A20" s="2" t="str">
        <f t="shared" si="0"/>
        <v>Bioaffald</v>
      </c>
      <c r="B20" s="322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2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2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55000000000000004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618821.95724757656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0</v>
      </c>
    </row>
    <row r="4" spans="1:9" hidden="1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184137.26532732765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337598.06480333197</v>
      </c>
    </row>
    <row r="5" spans="1:9" hidden="1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98603.526236202568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202558.83888199917</v>
      </c>
    </row>
    <row r="6" spans="1:9" hidden="1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135838.96622507778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472637.29072466469</v>
      </c>
    </row>
    <row r="7" spans="1:9" hidden="1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45279.655408359264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135039.22592133281</v>
      </c>
    </row>
    <row r="8" spans="1:9" hidden="1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33050.048755893535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0</v>
      </c>
    </row>
    <row r="9" spans="1:9" hidden="1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20325.905102401954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0</v>
      </c>
    </row>
    <row r="10" spans="1:9" hidden="1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84522.023428937289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0</v>
      </c>
    </row>
    <row r="11" spans="1:9" hidden="1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3064.212196895046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188373.71840347553</v>
      </c>
    </row>
    <row r="12" spans="1:9" hidden="1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42213.724990980285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hidden="1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60969.519838660199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hidden="1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11451.126708189486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10245.338260561472</v>
      </c>
    </row>
    <row r="15" spans="1:9" hidden="1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4403.4607968214023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3939.7822179621876</v>
      </c>
    </row>
    <row r="16" spans="1:9" hidden="1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166025.40316398395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16851.178700525419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1830.4013535168494</v>
      </c>
    </row>
    <row r="18" spans="1:9" hidden="1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1444.5538636691219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156.90969719557435</v>
      </c>
    </row>
    <row r="19" spans="1:9" hidden="1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1546.8037177185506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168.0162360659466</v>
      </c>
    </row>
    <row r="20" spans="1:9" hidden="1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14274.450695696209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1550.5131325500222</v>
      </c>
    </row>
    <row r="21" spans="1:9" hidden="1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66.762142822909354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7.2518082419319594</v>
      </c>
    </row>
    <row r="22" spans="1:9" hidden="1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1054.0011940040383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114.48725613794682</v>
      </c>
    </row>
    <row r="23" spans="1:9" hidden="1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27.652057994053425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3.0036097343305523</v>
      </c>
    </row>
    <row r="24" spans="1:9" hidden="1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3569.4651454094223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387.72087992188403</v>
      </c>
    </row>
    <row r="25" spans="1:9" hidden="1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60.808907260539151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6.6051584956547265</v>
      </c>
    </row>
    <row r="26" spans="1:9" hidden="1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1075.4603376621412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116.81818184321391</v>
      </c>
    </row>
    <row r="27" spans="1:9" hidden="1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2654.553265707737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288.34172237355216</v>
      </c>
    </row>
    <row r="28" spans="1:9" hidden="1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304.98975247773001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33.128463335719047</v>
      </c>
    </row>
    <row r="29" spans="1:9" hidden="1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500.90563602022252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54.409152644440603</v>
      </c>
    </row>
    <row r="30" spans="1:9" hidden="1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14158.130367806998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1537.8782368318195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8266.7568307088786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475.99342925102297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616.38993680991337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14215.89771790568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16.523315723463227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874.58394661057821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9.4578056299713129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1176.1707180927949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33.705478633164141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596.11177153005485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1896.6283551983877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169.05131252281291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399.04965430443821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14758.95687153021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96774.66719648811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0</v>
      </c>
    </row>
    <row r="46" spans="1:9" hidden="1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28796.36438529646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71611.710715858295</v>
      </c>
    </row>
    <row r="47" spans="1:9" hidden="1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15420.143587586084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42967.026429514983</v>
      </c>
    </row>
    <row r="48" spans="1:9" hidden="1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21243.219628497391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100256.39500220161</v>
      </c>
    </row>
    <row r="49" spans="1:9" hidden="1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7081.0732094991299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28644.684286343319</v>
      </c>
    </row>
    <row r="50" spans="1:9" hidden="1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5168.5423112736971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0</v>
      </c>
    </row>
    <row r="51" spans="1:9" hidden="1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3178.6730879773609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0</v>
      </c>
    </row>
    <row r="52" spans="1:9" hidden="1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13218.003324398376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0</v>
      </c>
    </row>
    <row r="53" spans="1:9" hidden="1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479.19779203196509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39958.061479525117</v>
      </c>
    </row>
    <row r="54" spans="1:9" hidden="1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6601.6067130142046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0</v>
      </c>
    </row>
    <row r="55" spans="1:9" hidden="1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9534.7376129955956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0</v>
      </c>
    </row>
    <row r="56" spans="1:9" hidden="1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1790.7880663104795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2173.2535704221305</v>
      </c>
    </row>
    <row r="57" spans="1:9" hidden="1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688.636607240947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835.7113795677368</v>
      </c>
    </row>
    <row r="58" spans="1:9" hidden="1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25963.935101496812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2635.2769023667065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388.26695377630136</v>
      </c>
    </row>
    <row r="60" spans="1:9" hidden="1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225.90701213281457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33.283875162697591</v>
      </c>
    </row>
    <row r="61" spans="1:9" hidden="1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241.89738784691369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35.63980765035231</v>
      </c>
    </row>
    <row r="62" spans="1:9" hidden="1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2232.3144796492898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328.89672508636835</v>
      </c>
    </row>
    <row r="63" spans="1:9" hidden="1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10.440618787588701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1.5382623543492036</v>
      </c>
    </row>
    <row r="64" spans="1:9" hidden="1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164.83030955805884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24.285175544412962</v>
      </c>
    </row>
    <row r="65" spans="1:9" hidden="1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4.3243758213994576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0.63712933758526868</v>
      </c>
    </row>
    <row r="66" spans="1:9" hidden="1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558.21193393475642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82.243823013732964</v>
      </c>
    </row>
    <row r="67" spans="1:9" hidden="1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9.5096201642477052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1.4010942263510027</v>
      </c>
    </row>
    <row r="68" spans="1:9" hidden="1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168.18620451542492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24.77961433037871</v>
      </c>
    </row>
    <row r="69" spans="1:9" hidden="1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415.13315071565842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61.163395654995902</v>
      </c>
    </row>
    <row r="70" spans="1:9" hidden="1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47.695918751252741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7.0272497984858573</v>
      </c>
    </row>
    <row r="71" spans="1:9" hidden="1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78.334286065593687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11.541335409426795</v>
      </c>
    </row>
    <row r="72" spans="1:9" hidden="1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2214.1236884405648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326.21659569159806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1292.799377456608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74.438382743186438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96.394334912357877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2223.1576537275891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2.5840039471658796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136.7720866678431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1.479061920040055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183.93582916151516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5.2710419196030802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93.223127631604285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296.60482424723369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26.437142892102489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62.405506200768976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2308.0841309550201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187763.65679570963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0</v>
      </c>
    </row>
    <row r="88" spans="1:9" hidden="1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55871.136900186779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105826.23519666794</v>
      </c>
    </row>
    <row r="89" spans="1:9" hidden="1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29918.393234476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63495.741118000762</v>
      </c>
    </row>
    <row r="90" spans="1:9" hidden="1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41216.4124673509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148156.72927533509</v>
      </c>
    </row>
    <row r="91" spans="1:9" hidden="1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13738.804155783633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42330.49407866718</v>
      </c>
    </row>
    <row r="92" spans="1:9" hidden="1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10028.083100484339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0</v>
      </c>
    </row>
    <row r="93" spans="1:9" hidden="1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6167.3090700992734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0</v>
      </c>
    </row>
    <row r="94" spans="1:9" hidden="1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25645.767757462785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0</v>
      </c>
    </row>
    <row r="95" spans="1:9" hidden="1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929.74672367167705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59049.1578802449</v>
      </c>
    </row>
    <row r="96" spans="1:9" hidden="1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12808.536087713192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hidden="1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18499.440531980632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hidden="1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3474.513791857044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3211.5870600834623</v>
      </c>
    </row>
    <row r="99" spans="1:9" hidden="1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1336.1030456082347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1234.9961776724069</v>
      </c>
    </row>
    <row r="100" spans="1:9" hidden="1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50375.615237873317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3357.5605834995149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364.7034753931315</v>
      </c>
    </row>
    <row r="102" spans="1:9" hidden="1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90.793805177184794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9.8621649464842704</v>
      </c>
    </row>
    <row r="103" spans="1:9" hidden="1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366.73036231407929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39.83482482056197</v>
      </c>
    </row>
    <row r="104" spans="1:9" hidden="1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1078.3409265177115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117.13107590444632</v>
      </c>
    </row>
    <row r="105" spans="1:9" hidden="1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20.422609337589453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2.2183357282125327</v>
      </c>
    </row>
    <row r="106" spans="1:9" hidden="1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34.720305000251777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3.7713737653851549</v>
      </c>
    </row>
    <row r="107" spans="1:9" hidden="1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97.001227381554372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10.536424842878008</v>
      </c>
    </row>
    <row r="108" spans="1:9" hidden="1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103.41827733151489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11.233454832455337</v>
      </c>
    </row>
    <row r="109" spans="1:9" hidden="1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22.309448342014662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2.4232871282864399</v>
      </c>
    </row>
    <row r="110" spans="1:9" hidden="1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159.30028150544692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17.303445418574402</v>
      </c>
    </row>
    <row r="111" spans="1:9" hidden="1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1156.5124894314743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125.62219317919325</v>
      </c>
    </row>
    <row r="112" spans="1:9" hidden="1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34.958778596980039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3.7972771399791134</v>
      </c>
    </row>
    <row r="113" spans="1:9" hidden="1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74.1955849335599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8.0592403356999522</v>
      </c>
    </row>
    <row r="114" spans="1:9" hidden="1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2150.2962504007219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233.56853767582237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1796.1549250748035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32.624096434599416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159.36107732825297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1171.0785614452748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5.5117970826864369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31.416585856718971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36.178887809125172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37.160330995922486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13.484572661869436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96.286388981255755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901.06512085105521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21.130248625350497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64.456117245548413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2241.5480572801857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29363.478760225542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0</v>
      </c>
    </row>
    <row r="130" spans="1:9" hidden="1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8737.4253871890633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22447.989284141684</v>
      </c>
    </row>
    <row r="131" spans="1:9" hidden="1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4678.7973736389513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13468.79357048501</v>
      </c>
    </row>
    <row r="132" spans="1:9" hidden="1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6445.6416790739004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31427.184997798355</v>
      </c>
    </row>
    <row r="133" spans="1:9" hidden="1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2148.5472263579668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8979.1957136566725</v>
      </c>
    </row>
    <row r="134" spans="1:9" hidden="1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1568.244942349125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0</v>
      </c>
    </row>
    <row r="135" spans="1:9" hidden="1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964.47657644759033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0</v>
      </c>
    </row>
    <row r="136" spans="1:9" hidden="1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4010.6214892015382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0</v>
      </c>
    </row>
    <row r="137" spans="1:9" hidden="1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145.3987349779097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12525.578944294373</v>
      </c>
    </row>
    <row r="138" spans="1:9" hidden="1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2003.0669607716254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0</v>
      </c>
    </row>
    <row r="139" spans="1:9" hidden="1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2893.0408493688915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0</v>
      </c>
    </row>
    <row r="140" spans="1:9" hidden="1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543.36293652561767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681.24574001770407</v>
      </c>
    </row>
    <row r="141" spans="1:9" hidden="1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208.94689670363573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261.96888617293479</v>
      </c>
    </row>
    <row r="142" spans="1:9" hidden="1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7878.0064966458776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525.07317210500355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77.361343265209698</v>
      </c>
    </row>
    <row r="144" spans="1:9" hidden="1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14.198817893608684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2.0919743825875723</v>
      </c>
    </row>
    <row r="145" spans="1:9" hidden="1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57.351243517032643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8.4498113255737515</v>
      </c>
    </row>
    <row r="146" spans="1:9" hidden="1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168.63668631323898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24.845985797912856</v>
      </c>
    </row>
    <row r="147" spans="1:9" hidden="1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3.1937962103345354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0.47055606356023416</v>
      </c>
    </row>
    <row r="148" spans="1:9" hidden="1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5.429745861483144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0.79998837447563886</v>
      </c>
    </row>
    <row r="149" spans="1:9" hidden="1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15.169567575226109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2.234999209095335</v>
      </c>
    </row>
    <row r="150" spans="1:9" hidden="1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16.173099958034264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2.3828540553693136</v>
      </c>
    </row>
    <row r="151" spans="1:9" hidden="1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3.4888701238698125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0.51403060296985081</v>
      </c>
    </row>
    <row r="152" spans="1:9" hidden="1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24.912224827259667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3.6704278160612374</v>
      </c>
    </row>
    <row r="153" spans="1:9" hidden="1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180.86157086461591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26.647131886495536</v>
      </c>
    </row>
    <row r="154" spans="1:9" hidden="1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5.467039630212966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0.80548302969253915</v>
      </c>
    </row>
    <row r="155" spans="1:9" hidden="1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11.603099979403883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1.7095358287848383</v>
      </c>
    </row>
    <row r="156" spans="1:9" hidden="1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336.27475814199715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49.544841325174438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280.89225514973896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5.1019296230003928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24.921732401207365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183.13949063618546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0.86196412729768701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4.9130926999694466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5.6578467946418041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5.8113300973303872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2.1087891539006742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15.057777346262895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140.91335346369644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3.3044606038102131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10.079990249473639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350.54520077644509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4451192.319631801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hidden="1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644964.92594194447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hidden="1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2734998.260478348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720277.08940132696</v>
      </c>
    </row>
    <row r="174" spans="1:9" hidden="1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396293.3577910827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104366.07233853101</v>
      </c>
    </row>
    <row r="175" spans="1:9" hidden="1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519487.36510723934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hidden="1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36922.050085268456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hidden="1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428286.51876372844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139246.39999999999</v>
      </c>
    </row>
    <row r="178" spans="1:9" hidden="1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30440.04023731218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9896.8000000000011</v>
      </c>
    </row>
    <row r="179" spans="1:9" hidden="1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9267841.2008731291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hidden="1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777846.49111438286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hidden="1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7477118.4636429986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8509733.5999999996</v>
      </c>
    </row>
    <row r="182" spans="1:9" hidden="1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627551.79275658482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714218.8</v>
      </c>
    </row>
    <row r="183" spans="1:9" hidden="1" x14ac:dyDescent="0.55000000000000004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55000000000000004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55000000000000004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5990.8547557908014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3672.2025152281963</v>
      </c>
    </row>
    <row r="187" spans="1:9" hidden="1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602.03212367175934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3719.4227792491643</v>
      </c>
    </row>
    <row r="188" spans="1:9" hidden="1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5990.8547557908014</v>
      </c>
    </row>
    <row r="189" spans="1:9" hidden="1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600.04669858305454</v>
      </c>
    </row>
    <row r="190" spans="1:9" hidden="1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53925.95798889982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34274.402036728592</v>
      </c>
    </row>
    <row r="191" spans="1:9" hidden="1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5410.0239262632222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33725.234224713757</v>
      </c>
    </row>
    <row r="192" spans="1:9" hidden="1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52603.55245068777</v>
      </c>
    </row>
    <row r="193" spans="1:9" hidden="1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5239.5520275308181</v>
      </c>
    </row>
    <row r="194" spans="1:9" hidden="1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5990.8547557908014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3671.3116940007144</v>
      </c>
    </row>
    <row r="195" spans="1:9" hidden="1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602.03212367175934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3719.4227792491643</v>
      </c>
    </row>
    <row r="196" spans="1:9" hidden="1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5990.8547557908014</v>
      </c>
    </row>
    <row r="197" spans="1:9" hidden="1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600.93751981053799</v>
      </c>
    </row>
    <row r="198" spans="1:9" hidden="1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53929.586607487312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34380.26923722338</v>
      </c>
    </row>
    <row r="199" spans="1:9" hidden="1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5406.3953076757343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33825.331863169748</v>
      </c>
    </row>
    <row r="200" spans="1:9" hidden="1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52404.419555420332</v>
      </c>
    </row>
    <row r="201" spans="1:9" hidden="1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5232.7200838474982</v>
      </c>
    </row>
    <row r="202" spans="1:9" hidden="1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1058.8969643834553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692.58198008610782</v>
      </c>
    </row>
    <row r="208" spans="1:9" hidden="1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106.75219451005873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706.63266688518274</v>
      </c>
    </row>
    <row r="209" spans="1:9" hidden="1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1058.8969643834553</v>
      </c>
    </row>
    <row r="210" spans="1:9" hidden="1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106.40013940050427</v>
      </c>
    </row>
    <row r="211" spans="1:9" hidden="1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9531.5382604265742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6453.4988841159684</v>
      </c>
    </row>
    <row r="212" spans="1:9" hidden="1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959.30416961505148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6400.3081467191514</v>
      </c>
    </row>
    <row r="213" spans="1:9" hidden="1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9297.7225933179252</v>
      </c>
    </row>
    <row r="214" spans="1:9" hidden="1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929.07613264421627</v>
      </c>
    </row>
    <row r="215" spans="1:9" hidden="1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1058.8969643834553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692.42401987566257</v>
      </c>
    </row>
    <row r="216" spans="1:9" hidden="1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106.75219451005873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706.63266688518274</v>
      </c>
    </row>
    <row r="217" spans="1:9" hidden="1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1058.8969643834553</v>
      </c>
    </row>
    <row r="218" spans="1:9" hidden="1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106.55809961094953</v>
      </c>
    </row>
    <row r="219" spans="1:9" hidden="1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9532.181686220687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6473.7861562589387</v>
      </c>
    </row>
    <row r="220" spans="1:9" hidden="1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958.66074382093962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6416.4042061689133</v>
      </c>
    </row>
    <row r="221" spans="1:9" hidden="1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9262.5507003715484</v>
      </c>
    </row>
    <row r="222" spans="1:9" hidden="1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927.86469399786017</v>
      </c>
    </row>
    <row r="223" spans="1:9" hidden="1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0" workbookViewId="0">
      <selection activeCell="E338" sqref="E338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55000000000000004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6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4992012.841626931</v>
      </c>
    </row>
    <row r="104" spans="1:5" x14ac:dyDescent="0.55000000000000004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5741886.057452837</v>
      </c>
    </row>
    <row r="105" spans="1:5" x14ac:dyDescent="0.55000000000000004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6063.3754879128683</v>
      </c>
    </row>
    <row r="106" spans="1:5" x14ac:dyDescent="0.55000000000000004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2943192.4535522191</v>
      </c>
    </row>
    <row r="107" spans="1:5" x14ac:dyDescent="0.55000000000000004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55000000000000004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55000000000000004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1849052.8375378796</v>
      </c>
    </row>
    <row r="110" spans="1:5" x14ac:dyDescent="0.55000000000000004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55000000000000004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55000000000000004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55000000000000004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55000000000000004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55000000000000004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55000000000000004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55000000000000004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706355.15146112291</v>
      </c>
    </row>
    <row r="122" spans="1:5" x14ac:dyDescent="0.55000000000000004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5056.5736535095893</v>
      </c>
    </row>
    <row r="123" spans="1:5" x14ac:dyDescent="0.55000000000000004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3608845.3408527621</v>
      </c>
    </row>
    <row r="124" spans="1:5" x14ac:dyDescent="0.55000000000000004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55000000000000004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55000000000000004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356969.53284222382</v>
      </c>
    </row>
    <row r="127" spans="1:5" x14ac:dyDescent="0.55000000000000004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55000000000000004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55000000000000004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55000000000000004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55000000000000004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55000000000000004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55000000000000004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723328.25937466533</v>
      </c>
    </row>
    <row r="155" spans="1:5" x14ac:dyDescent="0.55000000000000004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408098.865991503</v>
      </c>
    </row>
    <row r="156" spans="1:5" x14ac:dyDescent="0.55000000000000004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508.89686663358577</v>
      </c>
    </row>
    <row r="157" spans="1:5" x14ac:dyDescent="0.55000000000000004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2505393.7154740216</v>
      </c>
    </row>
    <row r="158" spans="1:5" x14ac:dyDescent="0.55000000000000004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55000000000000004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55000000000000004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257091.11156686768</v>
      </c>
    </row>
    <row r="161" spans="1:5" x14ac:dyDescent="0.55000000000000004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55000000000000004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55000000000000004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55000000000000004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55000000000000004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55000000000000004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55000000000000004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55000000000000004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50203.492966284524</v>
      </c>
    </row>
    <row r="173" spans="1:5" x14ac:dyDescent="0.55000000000000004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424.39636029513713</v>
      </c>
    </row>
    <row r="174" spans="1:5" x14ac:dyDescent="0.55000000000000004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3143088.7983713108</v>
      </c>
    </row>
    <row r="175" spans="1:5" x14ac:dyDescent="0.55000000000000004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55000000000000004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55000000000000004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50132.50913145845</v>
      </c>
    </row>
    <row r="178" spans="1:18" x14ac:dyDescent="0.55000000000000004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55000000000000004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55000000000000004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55000000000000004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55000000000000004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55000000000000004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55000000000000004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3"/>
    </row>
    <row r="189" spans="1:18" x14ac:dyDescent="0.55000000000000004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3972505.784940829</v>
      </c>
      <c r="G203" s="293"/>
    </row>
    <row r="204" spans="1:7" x14ac:dyDescent="0.55000000000000004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522363.62828034989</v>
      </c>
      <c r="G204" s="293"/>
    </row>
    <row r="205" spans="1:7" x14ac:dyDescent="0.55000000000000004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3"/>
    </row>
    <row r="206" spans="1:7" x14ac:dyDescent="0.55000000000000004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43580.743031500795</v>
      </c>
      <c r="G206" s="293"/>
    </row>
    <row r="207" spans="1:7" x14ac:dyDescent="0.55000000000000004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568365.52370248956</v>
      </c>
      <c r="G207" s="293"/>
    </row>
    <row r="208" spans="1:7" x14ac:dyDescent="0.55000000000000004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3822394.3367212149</v>
      </c>
      <c r="G208" s="293"/>
    </row>
    <row r="209" spans="1:7" x14ac:dyDescent="0.55000000000000004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144663.85534067627</v>
      </c>
      <c r="G209" s="293"/>
    </row>
    <row r="210" spans="1:7" x14ac:dyDescent="0.55000000000000004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3"/>
    </row>
    <row r="211" spans="1:7" x14ac:dyDescent="0.55000000000000004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3"/>
    </row>
    <row r="212" spans="1:7" x14ac:dyDescent="0.55000000000000004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8268840.7021296145</v>
      </c>
      <c r="G212" s="293"/>
    </row>
    <row r="213" spans="1:7" x14ac:dyDescent="0.55000000000000004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1024147.4612402687</v>
      </c>
      <c r="G213" s="293"/>
    </row>
    <row r="214" spans="1:7" x14ac:dyDescent="0.55000000000000004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3"/>
    </row>
    <row r="215" spans="1:7" x14ac:dyDescent="0.55000000000000004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3"/>
    </row>
    <row r="216" spans="1:7" x14ac:dyDescent="0.55000000000000004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26632.676297028265</v>
      </c>
      <c r="G216" s="293"/>
    </row>
    <row r="217" spans="1:7" x14ac:dyDescent="0.55000000000000004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3262502.8463859628</v>
      </c>
      <c r="G217" s="293"/>
    </row>
    <row r="218" spans="1:7" x14ac:dyDescent="0.55000000000000004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505761.3902957458</v>
      </c>
    </row>
    <row r="219" spans="1:7" x14ac:dyDescent="0.55000000000000004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66504.964166574544</v>
      </c>
    </row>
    <row r="220" spans="1:7" x14ac:dyDescent="0.55000000000000004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5548.5022247895331</v>
      </c>
    </row>
    <row r="222" spans="1:7" x14ac:dyDescent="0.55000000000000004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72361.716514963497</v>
      </c>
    </row>
    <row r="223" spans="1:7" x14ac:dyDescent="0.55000000000000004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486649.88263258187</v>
      </c>
    </row>
    <row r="224" spans="1:7" x14ac:dyDescent="0.55000000000000004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18417.944885065255</v>
      </c>
    </row>
    <row r="225" spans="1:5" x14ac:dyDescent="0.55000000000000004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1052751.2346229136</v>
      </c>
    </row>
    <row r="228" spans="1:5" x14ac:dyDescent="0.55000000000000004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130389.80228255401</v>
      </c>
    </row>
    <row r="229" spans="1:5" x14ac:dyDescent="0.55000000000000004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3390.7513595936034</v>
      </c>
    </row>
    <row r="232" spans="1:5" x14ac:dyDescent="0.55000000000000004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415367.04155021644</v>
      </c>
    </row>
    <row r="233" spans="1:5" x14ac:dyDescent="0.55000000000000004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485809.96937735338</v>
      </c>
    </row>
    <row r="249" spans="1:5" x14ac:dyDescent="0.55000000000000004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63881.457195285089</v>
      </c>
    </row>
    <row r="250" spans="1:5" x14ac:dyDescent="0.55000000000000004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5329.6233117734955</v>
      </c>
    </row>
    <row r="252" spans="1:5" x14ac:dyDescent="0.55000000000000004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69507.170691045991</v>
      </c>
    </row>
    <row r="253" spans="1:5" x14ac:dyDescent="0.55000000000000004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467452.37797013356</v>
      </c>
    </row>
    <row r="254" spans="1:5" x14ac:dyDescent="0.55000000000000004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17691.388493248127</v>
      </c>
    </row>
    <row r="255" spans="1:5" x14ac:dyDescent="0.55000000000000004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1011222.0008630237</v>
      </c>
    </row>
    <row r="258" spans="1:5" x14ac:dyDescent="0.55000000000000004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125246.14782667712</v>
      </c>
    </row>
    <row r="259" spans="1:5" x14ac:dyDescent="0.55000000000000004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3256.9920238615805</v>
      </c>
    </row>
    <row r="262" spans="1:5" x14ac:dyDescent="0.55000000000000004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398981.52292304358</v>
      </c>
    </row>
    <row r="263" spans="1:5" x14ac:dyDescent="0.55000000000000004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57061.536053444106</v>
      </c>
    </row>
    <row r="264" spans="1:5" x14ac:dyDescent="0.55000000000000004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7503.2920332351478</v>
      </c>
    </row>
    <row r="265" spans="1:5" x14ac:dyDescent="0.55000000000000004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625.99887183421856</v>
      </c>
    </row>
    <row r="267" spans="1:5" x14ac:dyDescent="0.55000000000000004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8164.068620171267</v>
      </c>
    </row>
    <row r="268" spans="1:5" x14ac:dyDescent="0.55000000000000004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54905.31771712625</v>
      </c>
    </row>
    <row r="269" spans="1:5" x14ac:dyDescent="0.55000000000000004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2077.9684773385866</v>
      </c>
    </row>
    <row r="270" spans="1:5" x14ac:dyDescent="0.55000000000000004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118774.59150176747</v>
      </c>
    </row>
    <row r="273" spans="1:7" x14ac:dyDescent="0.55000000000000004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14710.973488104135</v>
      </c>
    </row>
    <row r="274" spans="1:7" x14ac:dyDescent="0.55000000000000004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382.55486612091136</v>
      </c>
    </row>
    <row r="277" spans="1:7" x14ac:dyDescent="0.55000000000000004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46862.971099811642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55000000000000004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55000000000000004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55000000000000004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55000000000000004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55000000000000004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55000000000000004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55000000000000004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55000000000000004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55000000000000004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55000000000000004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55000000000000004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55000000000000004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55000000000000004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1432309.174339727</v>
      </c>
      <c r="F302">
        <v>1</v>
      </c>
    </row>
    <row r="303" spans="1:7" x14ac:dyDescent="0.55000000000000004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154932.92882641382</v>
      </c>
      <c r="F303">
        <v>1</v>
      </c>
    </row>
    <row r="304" spans="1:7" x14ac:dyDescent="0.55000000000000004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147783.41921503172</v>
      </c>
      <c r="F304">
        <v>1</v>
      </c>
    </row>
    <row r="305" spans="1:7" x14ac:dyDescent="0.55000000000000004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2225869.1010711943</v>
      </c>
      <c r="F305">
        <v>1</v>
      </c>
    </row>
    <row r="306" spans="1:7" x14ac:dyDescent="0.55000000000000004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55000000000000004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55000000000000004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55000000000000004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55000000000000004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55000000000000004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613377.28282504401</v>
      </c>
      <c r="F311">
        <v>1</v>
      </c>
      <c r="G311">
        <v>1</v>
      </c>
    </row>
    <row r="312" spans="1:7" x14ac:dyDescent="0.55000000000000004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55000000000000004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55000000000000004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598436.55400519155</v>
      </c>
      <c r="F314">
        <v>1</v>
      </c>
    </row>
    <row r="315" spans="1:7" x14ac:dyDescent="0.55000000000000004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46762.433045059144</v>
      </c>
      <c r="F315">
        <v>1</v>
      </c>
    </row>
    <row r="316" spans="1:7" x14ac:dyDescent="0.55000000000000004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40255.034034105825</v>
      </c>
      <c r="F316">
        <v>1</v>
      </c>
    </row>
    <row r="317" spans="1:7" x14ac:dyDescent="0.55000000000000004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648970.86702196393</v>
      </c>
      <c r="F317">
        <v>1</v>
      </c>
    </row>
    <row r="318" spans="1:7" x14ac:dyDescent="0.55000000000000004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55000000000000004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55000000000000004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55000000000000004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55000000000000004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55000000000000004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178680.65524972283</v>
      </c>
      <c r="F323">
        <v>1</v>
      </c>
      <c r="G323">
        <v>1</v>
      </c>
    </row>
    <row r="324" spans="1:7" x14ac:dyDescent="0.55000000000000004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55000000000000004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55000000000000004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995075.1511158779</v>
      </c>
      <c r="F326">
        <v>1</v>
      </c>
    </row>
    <row r="327" spans="1:7" x14ac:dyDescent="0.55000000000000004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318793.5100057816</v>
      </c>
      <c r="F327">
        <v>1</v>
      </c>
    </row>
    <row r="328" spans="1:7" x14ac:dyDescent="0.55000000000000004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109495.6819733945</v>
      </c>
      <c r="F328">
        <v>1</v>
      </c>
    </row>
    <row r="329" spans="1:7" x14ac:dyDescent="0.55000000000000004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2312878.2492368715</v>
      </c>
      <c r="F329">
        <v>1</v>
      </c>
    </row>
    <row r="330" spans="1:7" x14ac:dyDescent="0.55000000000000004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55000000000000004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55000000000000004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55000000000000004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55000000000000004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55000000000000004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676235.95848651009</v>
      </c>
      <c r="F335">
        <v>1</v>
      </c>
      <c r="G335">
        <v>1</v>
      </c>
    </row>
    <row r="336" spans="1:7" x14ac:dyDescent="0.55000000000000004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55000000000000004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55000000000000004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333600.69581393356</v>
      </c>
      <c r="F338">
        <v>1</v>
      </c>
    </row>
    <row r="339" spans="1:7" x14ac:dyDescent="0.55000000000000004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99907.394395814132</v>
      </c>
      <c r="F339">
        <v>1</v>
      </c>
    </row>
    <row r="340" spans="1:7" x14ac:dyDescent="0.55000000000000004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34028.264724407527</v>
      </c>
      <c r="F340">
        <v>1</v>
      </c>
    </row>
    <row r="341" spans="1:7" x14ac:dyDescent="0.55000000000000004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641761.08642399055</v>
      </c>
      <c r="F341">
        <v>1</v>
      </c>
    </row>
    <row r="342" spans="1:7" x14ac:dyDescent="0.55000000000000004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55000000000000004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55000000000000004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55000000000000004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55000000000000004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55000000000000004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183690.80267816613</v>
      </c>
      <c r="F347">
        <v>1</v>
      </c>
      <c r="G347">
        <v>1</v>
      </c>
    </row>
    <row r="348" spans="1:7" x14ac:dyDescent="0.55000000000000004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55000000000000004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1664004.2805423103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1913962.0191509458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2021.1251626376227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233332.85807025622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10112257.042498086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1439774.8708067413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78483.905717902526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561.84151705662089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15015.385111617346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495509.77237359248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3130893.6010473287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241109.41979155506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136032.95533050099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169.63228887786195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32442.449792961874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2691211.5260409825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477463.55143540201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5578.1658851427237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47.155151143904114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2108.7483999740452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347663.70899388671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973432.69438373833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>
        <v>1</v>
      </c>
    </row>
    <row r="392" spans="1:7" x14ac:dyDescent="0.55000000000000004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55000000000000004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484165.4025825432</v>
      </c>
      <c r="G393">
        <v>1</v>
      </c>
    </row>
    <row r="394" spans="1:7" x14ac:dyDescent="0.55000000000000004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996229.71876806754</v>
      </c>
      <c r="G394">
        <v>1</v>
      </c>
    </row>
    <row r="395" spans="1:7" x14ac:dyDescent="0.55000000000000004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55000000000000004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146132.60326580983</v>
      </c>
      <c r="G396">
        <v>1</v>
      </c>
    </row>
    <row r="397" spans="1:7" x14ac:dyDescent="0.55000000000000004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312210.60748691915</v>
      </c>
      <c r="G397">
        <v>1</v>
      </c>
    </row>
    <row r="398" spans="1:7" x14ac:dyDescent="0.55000000000000004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55000000000000004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55000000000000004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55000000000000004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55000000000000004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55000000000000004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55000000000000004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55000000000000004">
      <c r="A405" t="s">
        <v>120</v>
      </c>
      <c r="B405" t="s">
        <v>23</v>
      </c>
      <c r="C405" t="s">
        <v>307</v>
      </c>
      <c r="D405">
        <f t="shared" si="31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55000000000000004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55000000000000004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55000000000000004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55000000000000004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55000000000000004">
      <c r="A410" t="s">
        <v>120</v>
      </c>
      <c r="B410" t="s">
        <v>24</v>
      </c>
      <c r="C410" t="s">
        <v>306</v>
      </c>
      <c r="D410">
        <f t="shared" si="31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55000000000000004">
      <c r="A411" t="s">
        <v>120</v>
      </c>
      <c r="B411" t="s">
        <v>24</v>
      </c>
      <c r="C411" t="s">
        <v>307</v>
      </c>
      <c r="D411">
        <f t="shared" si="31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55000000000000004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55000000000000004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55000000000000004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55000000000000004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522363.62828034989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1954672.8026200768</v>
      </c>
      <c r="F14">
        <f>E14-D14</f>
        <v>1432309.174339727</v>
      </c>
      <c r="G14">
        <f t="shared" si="3"/>
        <v>1432309.174339727</v>
      </c>
      <c r="H14">
        <f t="shared" si="1"/>
        <v>598436.55400519155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154932.92882641382</v>
      </c>
      <c r="F15">
        <f t="shared" si="2"/>
        <v>154932.92882641382</v>
      </c>
      <c r="G15">
        <f t="shared" si="3"/>
        <v>154932.92882641382</v>
      </c>
      <c r="H15">
        <f t="shared" si="1"/>
        <v>46762.433045059144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147783.41921503172</v>
      </c>
      <c r="F16">
        <f t="shared" si="2"/>
        <v>147783.41921503172</v>
      </c>
      <c r="G16">
        <f t="shared" si="3"/>
        <v>147783.41921503172</v>
      </c>
      <c r="H16">
        <f t="shared" si="1"/>
        <v>40255.034034105825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2225869.1010711943</v>
      </c>
      <c r="F17">
        <f t="shared" ca="1" si="2"/>
        <v>2225869.1010711943</v>
      </c>
      <c r="G17">
        <f t="shared" ca="1" si="3"/>
        <v>2225869.1010711943</v>
      </c>
      <c r="H17">
        <f t="shared" ca="1" si="1"/>
        <v>648970.86702196393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63881.457195285089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662318.01120047667</v>
      </c>
      <c r="F20">
        <f t="shared" si="2"/>
        <v>598436.55400519155</v>
      </c>
      <c r="G20">
        <f t="shared" si="3"/>
        <v>598436.55400519155</v>
      </c>
      <c r="H20">
        <f t="shared" si="1"/>
        <v>1432309.174339727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46762.433045059144</v>
      </c>
      <c r="F21">
        <f t="shared" si="2"/>
        <v>46762.433045059144</v>
      </c>
      <c r="G21">
        <f t="shared" si="3"/>
        <v>46762.433045059144</v>
      </c>
      <c r="H21">
        <f t="shared" si="1"/>
        <v>154932.92882641382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40255.034034105825</v>
      </c>
      <c r="F22">
        <f t="shared" si="2"/>
        <v>40255.034034105825</v>
      </c>
      <c r="G22">
        <f t="shared" si="3"/>
        <v>40255.034034105825</v>
      </c>
      <c r="H22">
        <f t="shared" si="1"/>
        <v>147783.41921503172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648970.86702196393</v>
      </c>
      <c r="F23">
        <f t="shared" ca="1" si="2"/>
        <v>648970.86702196393</v>
      </c>
      <c r="G23">
        <f t="shared" ca="1" si="3"/>
        <v>648970.86702196393</v>
      </c>
      <c r="H23">
        <f t="shared" ca="1" si="1"/>
        <v>2225869.1010711943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66504.964166574544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1061580.1152824524</v>
      </c>
      <c r="F26">
        <f t="shared" si="2"/>
        <v>995075.1511158779</v>
      </c>
      <c r="G26">
        <f t="shared" si="3"/>
        <v>995075.1511158779</v>
      </c>
      <c r="H26">
        <f t="shared" si="1"/>
        <v>333600.69581393356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318793.5100057816</v>
      </c>
      <c r="F27">
        <f t="shared" si="2"/>
        <v>318793.5100057816</v>
      </c>
      <c r="G27">
        <f t="shared" si="3"/>
        <v>318793.5100057816</v>
      </c>
      <c r="H27">
        <f t="shared" si="1"/>
        <v>99907.394395814132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109495.6819733945</v>
      </c>
      <c r="F28">
        <f t="shared" si="2"/>
        <v>109495.6819733945</v>
      </c>
      <c r="G28">
        <f t="shared" si="3"/>
        <v>109495.6819733945</v>
      </c>
      <c r="H28">
        <f t="shared" si="1"/>
        <v>34028.264724407527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2312878.2492368715</v>
      </c>
      <c r="F29">
        <f t="shared" ca="1" si="2"/>
        <v>2312878.2492368715</v>
      </c>
      <c r="G29">
        <f t="shared" ca="1" si="3"/>
        <v>2312878.2492368715</v>
      </c>
      <c r="H29">
        <f t="shared" ca="1" si="1"/>
        <v>641761.08642399055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7503.2920332351478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341103.9878471687</v>
      </c>
      <c r="F32">
        <f t="shared" si="2"/>
        <v>333600.69581393356</v>
      </c>
      <c r="G32">
        <f t="shared" si="3"/>
        <v>333600.69581393356</v>
      </c>
      <c r="H32">
        <f t="shared" si="1"/>
        <v>995075.1511158779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99907.394395814132</v>
      </c>
      <c r="F33">
        <f t="shared" si="2"/>
        <v>99907.394395814132</v>
      </c>
      <c r="G33">
        <f t="shared" si="3"/>
        <v>99907.394395814132</v>
      </c>
      <c r="H33">
        <f t="shared" si="1"/>
        <v>318793.5100057816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34028.264724407527</v>
      </c>
      <c r="F34">
        <f t="shared" si="2"/>
        <v>34028.264724407527</v>
      </c>
      <c r="G34">
        <f t="shared" si="3"/>
        <v>34028.264724407527</v>
      </c>
      <c r="H34">
        <f t="shared" si="1"/>
        <v>109495.6819733945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641761.08642399055</v>
      </c>
      <c r="F35">
        <f t="shared" ca="1" si="2"/>
        <v>641761.08642399055</v>
      </c>
      <c r="G35">
        <f t="shared" ca="1" si="3"/>
        <v>641761.08642399055</v>
      </c>
      <c r="H35">
        <f t="shared" ca="1" si="1"/>
        <v>2312878.2492368715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55000000000000004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1802883.006068158</v>
      </c>
      <c r="O3">
        <f>SUMIF($F$3:$F$494,"Roer",J3:J494)</f>
        <v>328.27548713856038</v>
      </c>
    </row>
    <row r="4" spans="1:21" hidden="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hidden="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hidden="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hidden="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hidden="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-14977.136889477004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-9180.50628807049</v>
      </c>
    </row>
    <row r="18" spans="1:10" hidden="1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-3311.1766801946765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-20456.825285870404</v>
      </c>
    </row>
    <row r="22" spans="1:10" hidden="1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-83871.966581071218</v>
      </c>
    </row>
    <row r="26" spans="1:10" hidden="1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1144.5736818569644</v>
      </c>
    </row>
    <row r="28" spans="1:10" hidden="1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597.91162485065297</v>
      </c>
    </row>
    <row r="29" spans="1:10" hidden="1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-8700.6771294542905</v>
      </c>
    </row>
    <row r="30" spans="1:10" hidden="1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-6109.2989850833546</v>
      </c>
    </row>
    <row r="31" spans="1:10" hidden="1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-674074.4748612477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-428430.02545910742</v>
      </c>
    </row>
    <row r="34" spans="1:10" hidden="1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12353.466412444523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77009.557429923152</v>
      </c>
    </row>
    <row r="36" spans="1:10" hidden="1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3088.3666031111302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19252.389357480781</v>
      </c>
    </row>
    <row r="37" spans="1:10" hidden="1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-86560.382820211555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-539603.74759542011</v>
      </c>
    </row>
    <row r="38" spans="1:10" hidden="1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-77904.344538190417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-485643.37283587817</v>
      </c>
    </row>
    <row r="39" spans="1:10" hidden="1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127028.56723918195</v>
      </c>
    </row>
    <row r="40" spans="1:10" hidden="1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43971.427121255299</v>
      </c>
    </row>
    <row r="41" spans="1:10" hidden="1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-26301.776225343885</v>
      </c>
    </row>
    <row r="42" spans="1:10" hidden="1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-801076.95589190233</v>
      </c>
    </row>
    <row r="43" spans="1:10" hidden="1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5815.9325080565959</v>
      </c>
    </row>
    <row r="44" spans="1:10" hidden="1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2907.9662540282984</v>
      </c>
    </row>
    <row r="45" spans="1:10" hidden="1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-65494.400344135225</v>
      </c>
    </row>
    <row r="46" spans="1:10" hidden="1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-36676.864192715722</v>
      </c>
    </row>
    <row r="47" spans="1:10" hidden="1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-14977.136889477004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-9178.2792350017862</v>
      </c>
    </row>
    <row r="50" spans="1:10" hidden="1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-2558.6365256049771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-15807.546811808948</v>
      </c>
    </row>
    <row r="54" spans="1:10" hidden="1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-82374.252892123521</v>
      </c>
    </row>
    <row r="58" spans="1:10" hidden="1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840.41616411625125</v>
      </c>
    </row>
    <row r="60" spans="1:10" hidden="1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458.40881679068264</v>
      </c>
    </row>
    <row r="61" spans="1:10" hidden="1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-7962.4221374896288</v>
      </c>
    </row>
    <row r="62" spans="1:10" hidden="1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-1555.367698333157</v>
      </c>
    </row>
    <row r="63" spans="1:10" hidden="1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-512331.07277112949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-326612.55775362212</v>
      </c>
    </row>
    <row r="66" spans="1:10" hidden="1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3135.0028409305678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19614.272625588896</v>
      </c>
    </row>
    <row r="68" spans="1:10" hidden="1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10972.509943256982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68649.954189561104</v>
      </c>
    </row>
    <row r="69" spans="1:10" hidden="1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-43251.162461405875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-270602.65490535798</v>
      </c>
    </row>
    <row r="70" spans="1:10" hidden="1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-21625.581230702948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-135301.32745267905</v>
      </c>
    </row>
    <row r="71" spans="1:10" hidden="1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32708.999660059962</v>
      </c>
    </row>
    <row r="72" spans="1:10" hidden="1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43260.289872982532</v>
      </c>
    </row>
    <row r="73" spans="1:10" hidden="1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-235819.8879993915</v>
      </c>
    </row>
    <row r="74" spans="1:10" hidden="1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-225630.13975250421</v>
      </c>
    </row>
    <row r="75" spans="1:10" hidden="1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2699.6291358284216</v>
      </c>
    </row>
    <row r="76" spans="1:10" hidden="1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1472.5249831791393</v>
      </c>
    </row>
    <row r="77" spans="1:10" hidden="1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-68025.361090017483</v>
      </c>
    </row>
    <row r="78" spans="1:10" hidden="1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-18622.327357221977</v>
      </c>
    </row>
    <row r="79" spans="1:10" hidden="1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hidden="1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hidden="1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hidden="1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hidden="1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6170102.6158003472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0</v>
      </c>
    </row>
    <row r="96" spans="1:10" hidden="1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6656017.1221692413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0</v>
      </c>
    </row>
    <row r="97" spans="1:10" hidden="1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853253.37010987592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0</v>
      </c>
    </row>
    <row r="98" spans="1:10" hidden="1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69742.185090778832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0</v>
      </c>
    </row>
    <row r="99" spans="1:10" hidden="1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-3807861493.6754169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0</v>
      </c>
    </row>
    <row r="100" spans="1:10" hidden="1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-292443.33539980929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0</v>
      </c>
    </row>
    <row r="101" spans="1:10" hidden="1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498642.55540767737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0</v>
      </c>
    </row>
    <row r="102" spans="1:10" hidden="1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1292656.6563913561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340428.3606008488</v>
      </c>
    </row>
    <row r="103" spans="1:10" hidden="1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1401137.5742687352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368997.41708377207</v>
      </c>
    </row>
    <row r="105" spans="1:10" hidden="1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42852.508094059915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11285.447690975097</v>
      </c>
    </row>
    <row r="106" spans="1:10" hidden="1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-2339708961.8914123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-616175441.67015314</v>
      </c>
    </row>
    <row r="107" spans="1:10" hidden="1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-157946.1495426246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-41596.001912926637</v>
      </c>
    </row>
    <row r="108" spans="1:10" hidden="1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337025.4678028865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88757.542010548394</v>
      </c>
    </row>
    <row r="109" spans="1:10" hidden="1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180640.06258957548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0</v>
      </c>
    </row>
    <row r="110" spans="1:10" hidden="1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5241882.7059442066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0</v>
      </c>
    </row>
    <row r="111" spans="1:10" hidden="1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102726.22351893788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0</v>
      </c>
    </row>
    <row r="112" spans="1:10" hidden="1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1962195.5051150892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0</v>
      </c>
    </row>
    <row r="113" spans="1:10" hidden="1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22353.346626701434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0</v>
      </c>
    </row>
    <row r="114" spans="1:10" hidden="1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-1360017921.8507526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0</v>
      </c>
    </row>
    <row r="115" spans="1:10" hidden="1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-5688.3866479242706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0</v>
      </c>
    </row>
    <row r="116" spans="1:10" hidden="1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1471041.6885329406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0</v>
      </c>
    </row>
    <row r="117" spans="1:10" hidden="1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44671.245293344473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14523.712090145667</v>
      </c>
    </row>
    <row r="118" spans="1:10" hidden="1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2413965.3706595763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784839.05717902537</v>
      </c>
    </row>
    <row r="119" spans="1:10" hidden="1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19930.247900107533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6479.8100094496049</v>
      </c>
    </row>
    <row r="120" spans="1:10" hidden="1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922060.31951646914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299784.31365557079</v>
      </c>
    </row>
    <row r="121" spans="1:10" hidden="1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18429.008388861534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5991.7204051301032</v>
      </c>
    </row>
    <row r="122" spans="1:10" hidden="1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-1121254106.123441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-364547075.19999999</v>
      </c>
    </row>
    <row r="123" spans="1:10" hidden="1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-5653.3820476812152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-1838.0524799999998</v>
      </c>
    </row>
    <row r="124" spans="1:10" hidden="1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1014191.1273436294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329738.28782233916</v>
      </c>
    </row>
    <row r="125" spans="1:10" hidden="1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49456516.776949145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0</v>
      </c>
    </row>
    <row r="126" spans="1:10" hidden="1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3147.8530675694519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0</v>
      </c>
    </row>
    <row r="127" spans="1:10" hidden="1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69767.908896682624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0</v>
      </c>
    </row>
    <row r="128" spans="1:10" hidden="1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103066.61827018684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0</v>
      </c>
    </row>
    <row r="129" spans="1:10" hidden="1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4352.9170396075651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0</v>
      </c>
    </row>
    <row r="130" spans="1:10" hidden="1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-171269705.39213544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0</v>
      </c>
    </row>
    <row r="131" spans="1:10" hidden="1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-4059.3144459824302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0</v>
      </c>
    </row>
    <row r="132" spans="1:10" hidden="1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6613.3514734124437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0</v>
      </c>
    </row>
    <row r="133" spans="1:10" hidden="1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2794164.600858218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3180048.1032192786</v>
      </c>
    </row>
    <row r="134" spans="1:10" hidden="1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4936.6475829810388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5618.4151705662098</v>
      </c>
    </row>
    <row r="135" spans="1:10" hidden="1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18588.45868949993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21155.587175915862</v>
      </c>
    </row>
    <row r="136" spans="1:10" hidden="1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34222.445868990108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38948.680417674739</v>
      </c>
    </row>
    <row r="137" spans="1:10" hidden="1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3511.8508897724369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3996.8492755865582</v>
      </c>
    </row>
    <row r="138" spans="1:10" hidden="1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-138177149.20812261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-157259876.928</v>
      </c>
    </row>
    <row r="139" spans="1:10" hidden="1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-6168.6227325054742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-7020.5302199999996</v>
      </c>
    </row>
    <row r="140" spans="1:10" hidden="1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5869.0791598942833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6679.6186754112641</v>
      </c>
    </row>
    <row r="141" spans="1:10" hidden="1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4337941.9203055119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</v>
      </c>
    </row>
    <row r="142" spans="1:10" hidden="1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1488179.2415714019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0</v>
      </c>
    </row>
    <row r="143" spans="1:10" hidden="1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-99011513.159612253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0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1407011.9986701433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0</v>
      </c>
    </row>
    <row r="145" spans="1:10" hidden="1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141752.11522881981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15397.336185783735</v>
      </c>
    </row>
    <row r="146" spans="1:10" hidden="1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48629.64032434766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5745.900931129846</v>
      </c>
    </row>
    <row r="147" spans="1:10" hidden="1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-2190653.2310683043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-237952.17595719043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269478.89951068332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29271.219015273164</v>
      </c>
    </row>
    <row r="149" spans="1:10" hidden="1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81129.951536576918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27832.532561414395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-826675.68307088781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338537.69914151268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454521.57942174567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0</v>
      </c>
    </row>
    <row r="154" spans="1:10" hidden="1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155928.685023531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0</v>
      </c>
    </row>
    <row r="155" spans="1:10" hidden="1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-10374244.323463526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0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220036.01571993498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0</v>
      </c>
    </row>
    <row r="157" spans="1:10" hidden="1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14852.526032814851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2188.2880821613853</v>
      </c>
    </row>
    <row r="158" spans="1:10" hidden="1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5095.3243111602633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816.614405060575</v>
      </c>
    </row>
    <row r="159" spans="1:10" hidden="1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-229532.61819614016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-33818.051673915856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42142.54279634219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6209.0464577852163</v>
      </c>
    </row>
    <row r="161" spans="1:10" hidden="1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8500.6471705406293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2916.2415937164724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-86617.558289592736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52942.32498407847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932975.97977539047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2779647.4263647147</v>
      </c>
    </row>
    <row r="166" spans="1:10" hidden="1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-9055931.0816718526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-27007845.18426656</v>
      </c>
    </row>
    <row r="167" spans="1:10" hidden="1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102952.09746366904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307037.92736693099</v>
      </c>
    </row>
    <row r="168" spans="1:10" hidden="1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1650.7407147964097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179.12546502231294</v>
      </c>
    </row>
    <row r="169" spans="1:10" hidden="1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-13018.617850467324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-1414.1026071767321</v>
      </c>
    </row>
    <row r="170" spans="1:10" hidden="1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1067.6397833423794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115.96870101658794</v>
      </c>
    </row>
    <row r="171" spans="1:10" hidden="1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476.64230551424049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-3139.4299874580133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676.65777544473281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83165.133631653502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336084.64336955175</v>
      </c>
    </row>
    <row r="175" spans="1:10" hidden="1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-807242.34588290076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-3265494.0086431382</v>
      </c>
    </row>
    <row r="176" spans="1:10" hidden="1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16100.196272190366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65129.25732025809</v>
      </c>
    </row>
    <row r="177" spans="1:10" hidden="1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147.14641653508068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21.657897134516016</v>
      </c>
    </row>
    <row r="178" spans="1:10" hidden="1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-1160.4747782404841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-170.97786068591395</v>
      </c>
    </row>
    <row r="179" spans="1:10" hidden="1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166.96318465854509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24.599421427761079</v>
      </c>
    </row>
    <row r="180" spans="1:10" hidden="1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42.487718753632187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-279.84762747806474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105.81933988871313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120353.94205474939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409481.53825893049</v>
      </c>
    </row>
    <row r="184" spans="1:10" hidden="1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-95262175.820501834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-283597603.23210698</v>
      </c>
    </row>
    <row r="185" spans="1:10" hidden="1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20628.292628331874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61410.883152496965</v>
      </c>
    </row>
    <row r="186" spans="1:10" hidden="1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10728.305863232614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49510.0405349434</v>
      </c>
    </row>
    <row r="187" spans="1:10" hidden="1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-8491635.105183959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-34289528.390791111</v>
      </c>
    </row>
    <row r="188" spans="1:10" hidden="1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3225.9620567081997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13026.550971741777</v>
      </c>
    </row>
    <row r="189" spans="1:10" hidden="1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1403665.2982198803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0</v>
      </c>
    </row>
    <row r="190" spans="1:10" hidden="1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-4957507.31338403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0</v>
      </c>
    </row>
    <row r="191" spans="1:10" hidden="1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75145.709701394982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0</v>
      </c>
    </row>
    <row r="192" spans="1:10" hidden="1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53717.254503304226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5834.8520953606285</v>
      </c>
    </row>
    <row r="193" spans="1:10" hidden="1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-126480.1432804846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-13738.470736553618</v>
      </c>
    </row>
    <row r="194" spans="1:10" hidden="1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16855.264957477328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1830.8452091300692</v>
      </c>
    </row>
    <row r="195" spans="1:10" hidden="1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52002.11362550452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-78712.555194952045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35815.69448030561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125122.20532052146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0</v>
      </c>
    </row>
    <row r="199" spans="1:10" hidden="1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-441910.36761390103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0</v>
      </c>
    </row>
    <row r="200" spans="1:10" hidden="1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11751.68554125329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0</v>
      </c>
    </row>
    <row r="201" spans="1:10" hidden="1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4788.3361907863291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705.4866624390578</v>
      </c>
    </row>
    <row r="202" spans="1:10" hidden="1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-11274.393173771223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-1661.1060072378464</v>
      </c>
    </row>
    <row r="203" spans="1:10" hidden="1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2635.9159329504942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388.36110496698439</v>
      </c>
    </row>
    <row r="204" spans="1:10" hidden="1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4635.4491675495001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-7016.4080460603509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5601.0486912247425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6740329.504088359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23452262.36575786</v>
      </c>
    </row>
    <row r="208" spans="1:10" hidden="1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-21055039.764887054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-73258780.062323034</v>
      </c>
    </row>
    <row r="209" spans="1:10" hidden="1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308856.29239100707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1074632.7457842582</v>
      </c>
    </row>
    <row r="210" spans="1:10" hidden="1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849957.892224535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92323.75396455852</v>
      </c>
    </row>
    <row r="211" spans="1:10" hidden="1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-1855678.590440507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-201566.70723150289</v>
      </c>
    </row>
    <row r="212" spans="1:10" hidden="1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228272.65278931396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24795.332128512426</v>
      </c>
    </row>
    <row r="213" spans="1:10" hidden="1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987549.98266747163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-1492669.2603800965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582165.09850310732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822189.07521351159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3880283.4096072102</v>
      </c>
    </row>
    <row r="217" spans="1:10" hidden="1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-2568305.2530853348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-12120998.155766174</v>
      </c>
    </row>
    <row r="218" spans="1:10" hidden="1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48300.588816571093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227952.40062090327</v>
      </c>
    </row>
    <row r="219" spans="1:10" hidden="1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103678.32803346509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15275.384746863318</v>
      </c>
    </row>
    <row r="220" spans="1:10" hidden="1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-226356.688236438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-33350.127923757755</v>
      </c>
    </row>
    <row r="221" spans="1:10" hidden="1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35698.490890663779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5259.6159060480904</v>
      </c>
    </row>
    <row r="222" spans="1:10" hidden="1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120461.88639353555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-182076.61184028955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91042.072766188285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710769.84416348475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1303128.5301408616</v>
      </c>
    </row>
    <row r="226" spans="1:10" hidden="1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221785.3127700839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442315.41413725616</v>
      </c>
    </row>
    <row r="227" spans="1:10" hidden="1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418671.8630189207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767594.81841732748</v>
      </c>
    </row>
    <row r="229" spans="1:10" hidden="1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6691.1734965153737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726.80571740990047</v>
      </c>
    </row>
    <row r="230" spans="1:10" hidden="1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2087.8826232000647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246.69659550676528</v>
      </c>
    </row>
    <row r="231" spans="1:10" hidden="1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23100.863885166855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2509.2519208463154</v>
      </c>
    </row>
    <row r="233" spans="1:10" hidden="1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2572.2684916725279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802.63868344842774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19492.737435619201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63357.760920529276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157560.08591703142</v>
      </c>
    </row>
    <row r="238" spans="1:10" hidden="1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19769.860718710672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53479.954618413693</v>
      </c>
    </row>
    <row r="239" spans="1:10" hidden="1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65474.131506907477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162823.1433006452</v>
      </c>
    </row>
    <row r="241" spans="1:10" hidden="1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596.44872971354232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87.877418559560681</v>
      </c>
    </row>
    <row r="242" spans="1:10" hidden="1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186.11308450560904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29.827861093090707</v>
      </c>
    </row>
    <row r="243" spans="1:10" hidden="1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3612.6358934998002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532.26555896740024</v>
      </c>
    </row>
    <row r="245" spans="1:10" hidden="1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229.29106159618229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71.546915262484077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3048.3778993088745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1651555.6324996452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0</v>
      </c>
    </row>
    <row r="250" spans="1:10" hidden="1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-2743997.1888242639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0</v>
      </c>
    </row>
    <row r="251" spans="1:10" hidden="1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46214.895945375305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0</v>
      </c>
    </row>
    <row r="252" spans="1:10" hidden="1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2696.1994696052566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292.86539809603926</v>
      </c>
    </row>
    <row r="253" spans="1:10" hidden="1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-2903.4660893756095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-315.37902210470799</v>
      </c>
    </row>
    <row r="254" spans="1:10" hidden="1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442.20326007288543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48.032808870618389</v>
      </c>
    </row>
    <row r="255" spans="1:10" hidden="1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1075.8747968565574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-709.33542224784844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387.31316554566843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147219.05799762369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0</v>
      </c>
    </row>
    <row r="259" spans="1:10" hidden="1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-244598.89411985787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0</v>
      </c>
    </row>
    <row r="260" spans="1:10" hidden="1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7227.3310962117412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0</v>
      </c>
    </row>
    <row r="261" spans="1:10" hidden="1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240.33822311405777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35.410089042521108</v>
      </c>
    </row>
    <row r="262" spans="1:10" hidden="1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-258.81389291075749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-38.132190854478324</v>
      </c>
    </row>
    <row r="263" spans="1:10" hidden="1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69.154096465964017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10.188777639222083</v>
      </c>
    </row>
    <row r="264" spans="1:10" hidden="1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95.903081313030597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-63.229897081712338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60.570091700066534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26015.161551638939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1599292.8692455073</v>
      </c>
    </row>
    <row r="268" spans="1:10" hidden="1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-428989.70756530645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-26372320.576486576</v>
      </c>
    </row>
    <row r="269" spans="1:10" hidden="1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6023.3046562168411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370285.15724800411</v>
      </c>
    </row>
    <row r="270" spans="1:10" hidden="1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619.52114717037296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67.293354753730355</v>
      </c>
    </row>
    <row r="271" spans="1:10" hidden="1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-8513.2470164754814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-924.72218939166169</v>
      </c>
    </row>
    <row r="272" spans="1:10" hidden="1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648.32598403263603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70.422181129470744</v>
      </c>
    </row>
    <row r="273" spans="1:10" hidden="1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400.62331903378896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-4718.7670086429798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960.66325051225613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2318.9818749802885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193369.0469178659</v>
      </c>
    </row>
    <row r="277" spans="1:10" hidden="1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-38239.983804150812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-3188653.3060661042</v>
      </c>
    </row>
    <row r="278" spans="1:10" hidden="1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941.95640070870286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78545.336385940274</v>
      </c>
    </row>
    <row r="279" spans="1:10" hidden="1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55.223885833012702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8.136378347496489</v>
      </c>
    </row>
    <row r="280" spans="1:10" hidden="1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-758.86768910696685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-111.80731926281001</v>
      </c>
    </row>
    <row r="281" spans="1:10" hidden="1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101.38866374208592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14.938038421402885</v>
      </c>
    </row>
    <row r="282" spans="1:10" hidden="1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35.711414426149254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-420.62914518432581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150.23362579073088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1257797.7651013611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0</v>
      </c>
    </row>
    <row r="286" spans="1:10" hidden="1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-5997866.7591351159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0</v>
      </c>
    </row>
    <row r="287" spans="1:10" hidden="1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95981.108742572105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0</v>
      </c>
    </row>
    <row r="288" spans="1:10" hidden="1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38453.226559531351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4176.8495363153243</v>
      </c>
    </row>
    <row r="289" spans="1:10" hidden="1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-134432.54220776766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-14602.272730401739</v>
      </c>
    </row>
    <row r="290" spans="1:10" hidden="1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17198.433024245674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1868.120660602016</v>
      </c>
    </row>
    <row r="291" spans="1:10" hidden="1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24866.397736704123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-64330.395344285091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24411.787076559121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112119.62739001379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</v>
      </c>
    </row>
    <row r="295" spans="1:10" hidden="1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-534647.62367023784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0</v>
      </c>
    </row>
    <row r="296" spans="1:10" hidden="1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15010.035999734602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</v>
      </c>
    </row>
    <row r="297" spans="1:10" hidden="1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3427.706387640942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505.01908029994365</v>
      </c>
    </row>
    <row r="298" spans="1:10" hidden="1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-11983.267071724025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-1765.5475210394832</v>
      </c>
    </row>
    <row r="299" spans="1:10" hidden="1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2689.5823794380781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396.2680189155792</v>
      </c>
    </row>
    <row r="300" spans="1:10" hidden="1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2216.5814935650428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-5734.3876384390578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3817.6450307505465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3762075.2628219994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0</v>
      </c>
    </row>
    <row r="304" spans="1:10" hidden="1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-13523523.748629967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</v>
      </c>
    </row>
    <row r="305" spans="1:10" hidden="1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192177.24859884885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</v>
      </c>
    </row>
    <row r="306" spans="1:10" hidden="1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190652.27234660808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20708.947638387672</v>
      </c>
    </row>
    <row r="307" spans="1:10" hidden="1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-464030.46890322492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-50403.714389844921</v>
      </c>
    </row>
    <row r="308" spans="1:10" hidden="1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57081.795660779528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6200.3138116032987</v>
      </c>
    </row>
    <row r="309" spans="1:10" hidden="1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73291.902127234425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-117617.07180927949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48166.18377132203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488316.66221424652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0</v>
      </c>
    </row>
    <row r="313" spans="1:10" hidden="1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-1755350.841480104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0</v>
      </c>
    </row>
    <row r="314" spans="1:10" hidden="1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30053.699708088683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0</v>
      </c>
    </row>
    <row r="315" spans="1:10" hidden="1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24746.629126718264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3646.0298720918895</v>
      </c>
    </row>
    <row r="316" spans="1:10" hidden="1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-60231.067671560209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-8874.1085031817856</v>
      </c>
    </row>
    <row r="317" spans="1:10" hidden="1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8926.7546397676106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1315.2180812491845</v>
      </c>
    </row>
    <row r="318" spans="1:10" hidden="1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9513.275124447644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-15266.673820405758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7532.4838590523868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433855.51543929131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891258.89108079637</v>
      </c>
    </row>
    <row r="322" spans="1:10" hidden="1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243554.66482061316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544247.24183848815</v>
      </c>
    </row>
    <row r="323" spans="1:10" hidden="1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-17255617.091335449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-35447796.804349855</v>
      </c>
    </row>
    <row r="324" spans="1:10" hidden="1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224194.28221745862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460556.89105039643</v>
      </c>
    </row>
    <row r="325" spans="1:10" hidden="1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8167.1236295539475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887.12572642819805</v>
      </c>
    </row>
    <row r="326" spans="1:10" hidden="1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4584.8006706344577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541.72332484337903</v>
      </c>
    </row>
    <row r="327" spans="1:10" hidden="1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-224286.53906918984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-24362.354229562257</v>
      </c>
    </row>
    <row r="328" spans="1:10" hidden="1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24736.012300245315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2686.8642959419058</v>
      </c>
    </row>
    <row r="329" spans="1:10" hidden="1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3796.9620107490664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2131.5110145096023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-70884.842733140031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25242.212303433244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37316.747481958329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103980.20395942628</v>
      </c>
    </row>
    <row r="334" spans="1:10" hidden="1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20948.605242372636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63495.511547823633</v>
      </c>
    </row>
    <row r="335" spans="1:10" hidden="1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-1484188.8203051609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-4135576.2938408176</v>
      </c>
    </row>
    <row r="336" spans="1:10" hidden="1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35060.693620911523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97693.885980387131</v>
      </c>
    </row>
    <row r="337" spans="1:10" hidden="1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702.4700143074374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103.49800141662313</v>
      </c>
    </row>
    <row r="338" spans="1:10" hidden="1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394.34752536900629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63.201054565060893</v>
      </c>
    </row>
    <row r="339" spans="1:10" hidden="1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-19291.316680791366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-2842.2746601155968</v>
      </c>
    </row>
    <row r="340" spans="1:10" hidden="1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3868.3490947409355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569.94091126040428</v>
      </c>
    </row>
    <row r="341" spans="1:10" hidden="1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326.58400668306854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183.3353627023273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-6096.9416832066363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3947.5113420879125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871184.97954780248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0</v>
      </c>
    </row>
    <row r="346" spans="1:10" hidden="1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152118.3429366971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0</v>
      </c>
    </row>
    <row r="347" spans="1:10" hidden="1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-9145427.9757990297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</v>
      </c>
    </row>
    <row r="348" spans="1:10" hidden="1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138626.05384545473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0</v>
      </c>
    </row>
    <row r="349" spans="1:10" hidden="1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45516.650390828465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4944.0896665779201</v>
      </c>
    </row>
    <row r="350" spans="1:10" hidden="1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7947.7006560371638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939.07132142618445</v>
      </c>
    </row>
    <row r="351" spans="1:10" hidden="1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-358364.69087054447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-38926.132520429543</v>
      </c>
    </row>
    <row r="352" spans="1:10" hidden="1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42450.804507408553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4611.0726975921898</v>
      </c>
    </row>
    <row r="353" spans="1:10" hidden="1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37940.921871912164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6624.896319541378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-227595.40262380653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77670.144730791013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77657.106734328627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0</v>
      </c>
    </row>
    <row r="358" spans="1:10" hidden="1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13559.772804870885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0</v>
      </c>
    </row>
    <row r="359" spans="1:10" hidden="1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-815220.0659111233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0</v>
      </c>
    </row>
    <row r="360" spans="1:10" hidden="1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21679.079206119852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0</v>
      </c>
    </row>
    <row r="361" spans="1:10" hidden="1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4057.3373744625446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597.78538695896657</v>
      </c>
    </row>
    <row r="362" spans="1:10" hidden="1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708.45509579232316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113.54225977243864</v>
      </c>
    </row>
    <row r="363" spans="1:10" hidden="1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-31944.495947569911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-4706.5232956519339</v>
      </c>
    </row>
    <row r="364" spans="1:10" hidden="1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6638.6824680560867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978.10632979228262</v>
      </c>
    </row>
    <row r="365" spans="1:10" hidden="1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3382.039737341725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590.54080668094923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-20287.769978510783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12146.470110494452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572556.33540947433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512266.91302807356</v>
      </c>
    </row>
    <row r="370" spans="1:10" hidden="1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-1259623.9379008433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-1126987.2086617618</v>
      </c>
    </row>
    <row r="371" spans="1:10" hidden="1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22509.415271650396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20139.203711768969</v>
      </c>
    </row>
    <row r="372" spans="1:10" hidden="1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18299.385148663801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1987.7078001431428</v>
      </c>
    </row>
    <row r="373" spans="1:10" hidden="1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-30498.975247773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-3312.8463335719048</v>
      </c>
    </row>
    <row r="374" spans="1:10" hidden="1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3251.707526132599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353.20555094988441</v>
      </c>
    </row>
    <row r="375" spans="1:10" hidden="1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11833.591876596904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-15214.618127053162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4818.2488419474821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51037.459889848658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61937.726757030709</v>
      </c>
    </row>
    <row r="379" spans="1:10" hidden="1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-112282.41175766705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-136262.99886546758</v>
      </c>
    </row>
    <row r="380" spans="1:10" hidden="1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3520.1420153066888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4271.9523024964483</v>
      </c>
    </row>
    <row r="381" spans="1:10" hidden="1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1631.2004212928434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240.33194310821628</v>
      </c>
    </row>
    <row r="382" spans="1:10" hidden="1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-2718.6673688214059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-400.55323851369383</v>
      </c>
    </row>
    <row r="383" spans="1:10" hidden="1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508.51930830227553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74.922389595430005</v>
      </c>
    </row>
    <row r="384" spans="1:10" hidden="1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1054.8420013948894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-1356.2254303648576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753.503366660246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107401.4828493025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96092.249218589946</v>
      </c>
    </row>
    <row r="388" spans="1:10" hidden="1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-528415.29561856831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-472773.86615546251</v>
      </c>
    </row>
    <row r="389" spans="1:10" hidden="1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8655.8580857548677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7744.4077149676468</v>
      </c>
    </row>
    <row r="390" spans="1:10" hidden="1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14660.652761567488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1592.4630042275296</v>
      </c>
    </row>
    <row r="391" spans="1:10" hidden="1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-60108.676322426705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-6529.0983173328723</v>
      </c>
    </row>
    <row r="392" spans="1:10" hidden="1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5340.5027981985295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580.09375628888904</v>
      </c>
    </row>
    <row r="393" spans="1:10" hidden="1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13626.085756736913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-47885.958516532584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11373.591284435828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9573.7284421302375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11618.426496429511</v>
      </c>
    </row>
    <row r="397" spans="1:10" hidden="1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-47102.743935280771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-57162.658362433191</v>
      </c>
    </row>
    <row r="398" spans="1:10" hidden="1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1353.6491000978269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1642.753151659804</v>
      </c>
    </row>
    <row r="399" spans="1:10" hidden="1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1306.8451626552701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192.5432541475104</v>
      </c>
    </row>
    <row r="400" spans="1:10" hidden="1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-5358.0651668866076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-789.42734200479265</v>
      </c>
    </row>
    <row r="401" spans="1:10" hidden="1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835.17621652653509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123.05019072794617</v>
      </c>
    </row>
    <row r="402" spans="1:10" hidden="1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1214.6242426393567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-4268.5366241325974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1778.6626645825365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2289490.3096313388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-8301270.1581991976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326355.19985894603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234288.74132647022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25448.809063092951</v>
      </c>
    </row>
    <row r="409" spans="1:10" hidden="1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-707906.51839034993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-76893.911841590976</v>
      </c>
    </row>
    <row r="410" spans="1:10" hidden="1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150949.65879657274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16396.387735508284</v>
      </c>
    </row>
    <row r="411" spans="1:10" hidden="1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284936.42136176227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-737947.84357651055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420655.27793525351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358042.66504964104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-1298196.7550748405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51037.160986770323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36639.318796314474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5398.2322255045656</v>
      </c>
    </row>
    <row r="418" spans="1:10" hidden="1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-110706.18442202824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-16310.829784579902</v>
      </c>
    </row>
    <row r="419" spans="1:10" hidden="1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23606.310057962906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3478.0216408653932</v>
      </c>
    </row>
    <row r="420" spans="1:10" hidden="1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44559.872232217618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-115404.206547751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65784.30847492328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613377.28282504401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676235.95848651009</v>
      </c>
    </row>
    <row r="424" spans="1:10" hidden="1" x14ac:dyDescent="0.55000000000000004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664492.05639379763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732588.95502705255</v>
      </c>
    </row>
    <row r="425" spans="1:10" ht="14.7" hidden="1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>SUMIFS(H3:H424,$F$3:$F$424,$D$425)*H423/SUM(H423:H424)</f>
        <v>-469132.82551179174</v>
      </c>
      <c r="I425" s="316">
        <f t="shared" ref="I425:J425" ca="1" si="0">SUMIFS(I3:I424,$F$3:$F$424,$D$425)*I423/SUM(I423:I424)</f>
        <v>-491740.36233297375</v>
      </c>
      <c r="J425" s="317">
        <f t="shared" ca="1" si="0"/>
        <v>-1222711.8086435611</v>
      </c>
    </row>
    <row r="426" spans="1:10" hidden="1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1852201.4318158275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192514.45390067078</v>
      </c>
    </row>
    <row r="427" spans="1:10" hidden="1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72106.395615788962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7494.6078413892701</v>
      </c>
    </row>
    <row r="428" spans="1:10" hidden="1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9474.7803839146691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984.7914703585501</v>
      </c>
    </row>
    <row r="429" spans="1:10" hidden="1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959947.99719994201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99775.251913510743</v>
      </c>
    </row>
    <row r="430" spans="1:10" hidden="1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719809.07013594534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32835.498607746944</v>
      </c>
    </row>
    <row r="431" spans="1:10" hidden="1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13790.411555499159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629.07659574966169</v>
      </c>
    </row>
    <row r="432" spans="1:10" hidden="1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64195.341527515251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2928.3960633511674</v>
      </c>
    </row>
    <row r="433" spans="1:10" hidden="1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63341.571944185402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2889.4496939209107</v>
      </c>
    </row>
    <row r="434" spans="1:10" hidden="1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56168.51594495419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3620.6587311595463</v>
      </c>
    </row>
    <row r="435" spans="1:10" hidden="1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27242.185407662146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1756.0488254448856</v>
      </c>
    </row>
    <row r="436" spans="1:10" hidden="1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3595.8774389395312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231.79257679222383</v>
      </c>
    </row>
    <row r="437" spans="1:10" hidden="1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36960.157979986056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2382.4755994339962</v>
      </c>
    </row>
    <row r="438" spans="1:10" hidden="1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98611.398262488423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6001.6248923716248</v>
      </c>
    </row>
    <row r="439" spans="1:10" ht="14.7" hidden="1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363.72651659412389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22.136894461188312</v>
      </c>
    </row>
    <row r="440" spans="1:10" hidden="1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3574831504.7783847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455131307.49454135</v>
      </c>
    </row>
    <row r="441" spans="1:10" hidden="1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99267248.016196266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12638255.067576159</v>
      </c>
    </row>
    <row r="442" spans="1:10" hidden="1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hidden="1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47212471.617459193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6010877.41018866</v>
      </c>
    </row>
    <row r="444" spans="1:10" hidden="1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86556197.965341851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11019941.918679211</v>
      </c>
    </row>
    <row r="445" spans="1:10" hidden="1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1012646987.3847337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128925614.19545677</v>
      </c>
    </row>
    <row r="446" spans="1:10" hidden="1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145874431.53599572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18572069.946864963</v>
      </c>
    </row>
    <row r="447" spans="1:10" hidden="1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hidden="1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hidden="1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1375214557.8829138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175086070.20446965</v>
      </c>
    </row>
    <row r="450" spans="1:13" hidden="1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98661959.918536529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12561192.536676303</v>
      </c>
    </row>
    <row r="451" spans="1:13" hidden="1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hidden="1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hidden="1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73239859.816827729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9324566.2388824094</v>
      </c>
    </row>
    <row r="454" spans="1:13" hidden="1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2424784119.2248917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308712498.78481764</v>
      </c>
    </row>
    <row r="455" spans="1:13" hidden="1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hidden="1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hidden="1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hidden="1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59904154.099523172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hidden="1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-63536.342868420834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hidden="1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80960593.410084993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9959607.6356018335</v>
      </c>
      <c r="L460" s="114"/>
      <c r="M460" s="114"/>
    </row>
    <row r="461" spans="1:13" hidden="1" x14ac:dyDescent="0.55000000000000004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-168962.7760312311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-20785.457262761494</v>
      </c>
      <c r="L461" s="114"/>
      <c r="M461" s="114"/>
    </row>
    <row r="462" spans="1:13" hidden="1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79430.218891658573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66241.11486097562</v>
      </c>
      <c r="L462" s="114"/>
      <c r="M462" s="114"/>
    </row>
    <row r="463" spans="1:13" hidden="1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110943170.25227277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21418171.970533431</v>
      </c>
      <c r="L463" s="114"/>
      <c r="M463" s="114"/>
    </row>
    <row r="464" spans="1:13" hidden="1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hidden="1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hidden="1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hidden="1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hidden="1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hidden="1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hidden="1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hidden="1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hidden="1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4.7" hidden="1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40910375.104375847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50162950.237853393</v>
      </c>
      <c r="L473" s="126"/>
      <c r="M473" s="114"/>
    </row>
    <row r="474" spans="1:13" hidden="1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61">
        <f ca="1">SUMIFS('Forbrug af biomasse'!$E$1:$E$425,'Forbrug af biomasse'!$A$1:$A$425,"Biogas",'Forbrug af biomasse'!$B$1:$B$425,$A$1,'Forbrug af biomasse'!$D$1:$D$425,I$2)*'[1]Processer - data'!I474</f>
        <v>14753259.052618254</v>
      </c>
      <c r="J474" s="262">
        <f ca="1">SUMIFS('Forbrug af biomasse'!$E$1:$E$425,'Forbrug af biomasse'!$A$1:$A$425,"Biogas",'Forbrug af biomasse'!$B$1:$B$425,$A$1,'Forbrug af biomasse'!$D$1:$D$425,J$2)*'[1]Processer - data'!J474</f>
        <v>4885897.4700810183</v>
      </c>
    </row>
    <row r="475" spans="1:13" hidden="1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61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8819222.6868742444</v>
      </c>
      <c r="J475" s="262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hidden="1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61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15311696.153207567</v>
      </c>
      <c r="J476" s="262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627871.24574322021</v>
      </c>
    </row>
    <row r="477" spans="1:13" hidden="1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61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14147.876138463358</v>
      </c>
      <c r="J477" s="262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3932.8906193963462</v>
      </c>
    </row>
    <row r="478" spans="1:13" hidden="1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61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3266660.0129835871</v>
      </c>
      <c r="J478" s="262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210215.39156264285</v>
      </c>
    </row>
    <row r="479" spans="1:13" hidden="1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49011407.308287665</v>
      </c>
      <c r="I479" s="261">
        <f ca="1">I474*'[1]Processer - data'!I$479*Biogasanlæg!AB$3</f>
        <v>70785799.297486603</v>
      </c>
      <c r="J479" s="262">
        <f ca="1">J474*'[1]Processer - data'!J$479*Biogasanlæg!AC$3</f>
        <v>3468568.4066151474</v>
      </c>
    </row>
    <row r="480" spans="1:13" hidden="1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Vestdanmark'!H$3:H$504,'Resultater - Vestdanmark'!$F$3:$F$504,"Gødning",'Resultater - Vestdanmark'!$A$3:$A$504,"&lt;&gt;Gødning")-SUM(H475:H479)</f>
        <v>91199509.604784429</v>
      </c>
      <c r="I480" s="261">
        <f ca="1">-SUMIFS('Resultater - Vestdanmark'!I$3:I$504,'Resultater - Vestdanmark'!$F$3:$F$504,"Gødning",'Resultater - Vestdanmark'!$A$3:$A$504,"&lt;&gt;Gødning")-SUM(I475:I479)</f>
        <v>230363979.32907861</v>
      </c>
      <c r="J480" s="262">
        <f ca="1">-SUMIFS('Resultater - Vestdanmark'!J$3:J$504,'Resultater - Vestdanmark'!$F$3:$F$504,"Gødning",'Resultater - Vestdanmark'!$A$3:$A$504,"&lt;&gt;Gødning")-SUM(J475:J479)</f>
        <v>500942976.16757262</v>
      </c>
    </row>
    <row r="481" spans="1:10" hidden="1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14.80407024374086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10.284904054818577</v>
      </c>
    </row>
    <row r="482" spans="1:10" hidden="1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5.4226525089244833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11.157772850202354</v>
      </c>
    </row>
    <row r="483" spans="1:10" hidden="1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2.7192149135565833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2.0147205483104584</v>
      </c>
    </row>
    <row r="484" spans="1:10" hidden="1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32.260787180482176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33.521860264419189</v>
      </c>
    </row>
    <row r="485" spans="1:10" hidden="1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hidden="1" x14ac:dyDescent="0.55000000000000004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hidden="1" x14ac:dyDescent="0.55000000000000004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12.632071606880629</v>
      </c>
      <c r="I489" s="261">
        <f ca="1">SUM(I455:I473)*'[1]Processer - data'!$H$489</f>
        <v>12.921234516484036</v>
      </c>
      <c r="J489" s="262">
        <f ca="1">SUM(J455:J473)*'[1]Processer - data'!$H$489</f>
        <v>5.5532685685250236</v>
      </c>
    </row>
    <row r="490" spans="1:10" hidden="1" x14ac:dyDescent="0.55000000000000004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hidden="1" x14ac:dyDescent="0.55000000000000004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idden="1" x14ac:dyDescent="0.55000000000000004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hidden="1" x14ac:dyDescent="0.55000000000000004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6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7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242082.7012912716</v>
      </c>
      <c r="J493" s="278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498114.85938403377</v>
      </c>
    </row>
    <row r="494" spans="1:10" hidden="1" x14ac:dyDescent="0.55000000000000004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154932.92882641382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318793.5100057816</v>
      </c>
    </row>
    <row r="495" spans="1:10" hidden="1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4.7" hidden="1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560569.78346049855</v>
      </c>
      <c r="O3">
        <f>SUMIF($F$3:$F$494,"Roer",J3:J494)</f>
        <v>1151.564385499476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-2647.2424109586382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-1731.4549502152695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-587.13706980532299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-3886.4796678685052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-14824.557501368374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202.9555359462961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106.02154862866215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-1542.8020213073119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-1083.2994585041538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-119144.22825533217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-80668.73605144961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2190.5137574581831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14614.721265087281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547.62843936454567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3653.6803162718193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-15348.866713840824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-102404.93034750642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-13813.980042456744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-92164.437312755792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22452.407196714055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7771.9871065548659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-4648.8612966589626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-141591.03263538438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1031.2797838275148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515.63989191375754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-11613.451658052703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-6503.5329285095131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-2647.2424109586382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-1731.0600496891564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-453.69682666774958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-3003.1888342620268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-14559.83326027251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149.0223964694128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81.28494352877064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-1411.8948198450812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-275.79743428716347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-90555.726019096532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-61500.968484459918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555.89796608108406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3720.6760272116003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1945.6428812837928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13022.366095240593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-7669.2859505675169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-51331.233649351307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-3834.6429752837603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-25665.616824675664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5781.3590968093122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7646.313644167155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-41681.478151671967</v>
      </c>
    </row>
    <row r="74" spans="1:10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-39880.426626599721</v>
      </c>
    </row>
    <row r="75" spans="1:10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478.69760313671463</v>
      </c>
    </row>
    <row r="76" spans="1:10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261.10778352911717</v>
      </c>
    </row>
    <row r="77" spans="1:10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-12062.241021972182</v>
      </c>
    </row>
    <row r="78" spans="1:10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-3302.1067051100317</v>
      </c>
    </row>
    <row r="79" spans="1:10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894030.06900026498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964437.67916622036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123633.95179207907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10105.441421552499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-551748145.19555521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-42374.195634385746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72251.867752732287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187302.22034683442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49327.087354793563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203020.79239242183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53466.661220760339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6209.2047983220264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1635.2288132168444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-339017078.78953755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-89282043.903443128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-22885.941412435026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-6027.1406775501664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48834.018005319194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12860.711782131595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12838.813581080089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372561.6228799352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7301.1646184190349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139461.10258522313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1588.741977495567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-96661927.123232812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-404.29644843368959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104552.831405859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3174.964526330099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1032.2584556136005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171570.19844206879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55781.658851427252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1416.5226348241979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460.54608019683712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65534.524197326391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21306.873250485853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1309.8235230705052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425.85559486989695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-79692025.341283292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-25909822.400000002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-401.80853113252078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-130.63776000000001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72082.630136897104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23435.822304347737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4150867.1980768573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264.19814604957469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5855.5948414998547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8650.3432282522826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365.33872041870592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-14374603.155793795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-340.69676310809967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555.05614809362157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234513.20358929163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266900.26350807853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414.33100946187295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471.55151143904124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1560.1224765795505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1775.5806228855408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2872.2772498559852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3268.9483710154163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294.7483489109697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335.45408441344171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-11597157.130141689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-13198763.424000001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-517.73022902418245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-589.23050999999998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492.58964754016552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560.61792989733817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1316223.2341379244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451545.02533774864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-30042185.08731354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426917.16887487809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28243.799628397916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3067.8856350070218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9689.3497152040363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1144.8582218437452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-436482.87585493695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-47411.451801107098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53693.082671640383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5832.2265132467128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17627.46443468412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6047.2978050816209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-179615.49250748035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73555.58752831709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137911.4506931513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0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47312.057622498403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0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-3147764.9230961781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0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66763.576266903765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0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2959.3334009106838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436.01162509645241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1015.2322500007133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162.70863819536862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-45733.873290345815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-6738.1729983997657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8396.809688869309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1237.1389573553631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1846.9733166664903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633.62474650323918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-18819.781095032511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11503.013783085851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283084.62492888281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871330.89011528518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-2747760.8311567265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-8466098.8157334365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31237.841624991084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96246.605959542212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504.96331169843552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54.794667155432123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-3982.4088208299431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-432.57546700144388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326.59212671328521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35.474946970048116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158.99688131527668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-1047.241445710423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225.71742954577289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25234.058723510607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105351.82580484809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-244934.3838048082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-1023628.3113568606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4885.139726846618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20415.946718690768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45.012242765985107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6.6251733924295193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-354.99044877868357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-52.302306464720026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51.074212867703196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7.5249887512223266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14.172923170845738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-93.350714986339497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35.298891496831203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36519.690206479972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128359.24704997588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-28905950.980628211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-88898696.07023032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6259.3617077585895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19250.329955398527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3255.3516725475365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15519.799870587984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-2576665.7750746314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-10748660.524855118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978.87225725643259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4083.4033238724137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425901.7092464962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-1504212.4650726507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22800.796062247377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1769.5230999175935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192.2083632682326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-4166.4366000302134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-452.56485184621857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555.2365059099036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60.310656601592214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1868.0069234954306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-2827.4927271047072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1286.5624220742213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37964.720776586044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0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-134084.94257085017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0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3565.7096922567666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0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157.73463439473878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23.239738467886305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-371.394616925447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-54.71920481413369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86.830836309957476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12.793169582155922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166.51344598898666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-252.0416555084326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201.19947064827267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2045158.3866299514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7351536.9066421269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-6388543.9324393896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-22964293.037676938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93713.524874973256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336863.12085839763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64208.732128570613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6974.4527836543512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-140184.32044730251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-15227.039867578022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17244.498520822341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1873.124366798646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81352.485506480341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-122963.24895175385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47957.651328621425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249469.53729020461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1216345.1972807886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-779278.0790000346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-3799546.6662338213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14655.419180539855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71455.813515417685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7832.2162228716916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1153.9549151137201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-17099.759992162435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-2519.3829599083638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2696.7863466668359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397.32941113910675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9923.4206257013338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-14999.124283103591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7499.8724471500309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215662.58843472099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408489.26785913832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67294.349952470511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138651.78722179355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127033.88927496376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240616.5148988555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420.55690558072001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45.681548032115145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131.22861866996251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15.505494944594483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1451.9467828545583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157.71272762590505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176.30061713257524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55.012023699915702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1336.0120262050871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19224.083336893378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49390.066022968538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5998.5934555354843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16764.261545907764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19866.234889176241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51039.866796726921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37.488286955421394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5.5233144438830113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11.697670513030934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1.8747552978464235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227.06315613417374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33.454214950949549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15.715371779135648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4.9037514379015512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208.93266260553236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501116.8742928424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-832586.72446340194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14022.575895226712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9458.0540035554968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1027.3486002022901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-10185.128875063208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-1106.3246085021908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1551.2139815567793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168.4952858132861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4115.5374824780356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-2713.4165856843879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1481.5867561148393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44669.372758850572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0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-74216.472557642061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0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2192.9249594405464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0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843.08743435222607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124.21578529718597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-907.89861937728256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-133.76470266435578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242.58708834993342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35.741424263424328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366.85748841975999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-241.87295047093707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231.69841271222839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7893.5496839725383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501327.35040327924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-130164.54131403478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-8266882.1032342864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1827.5978979094764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116072.5970499571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227.28865970844538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24.68844926298225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-3123.3227678820526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-339.26019796010161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237.85651972976558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25.836346726451556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160.27763065898012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-1887.840172661721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384.33316868475259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703.62809817859841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60615.034185123754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-11602.819051237193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-999541.19975469098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285.80947438558832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24621.45998029393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20.260427028531819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2.9850579563423985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-278.41183588481101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-41.019642116994092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37.197266948551082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5.4804371843988138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14.287088693460143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-168.28137448127379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60.104063949945292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381642.41769206786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-1819879.5024625827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29122.696358367743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5695.8026262893663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618.6869786265936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-19912.535188180864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-2162.9306773218004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2547.4814144895035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276.71141063830834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4016.521329369848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-10390.906144227183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3943.0907733092045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34019.463903571494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0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-162223.38548549201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0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4554.3620664026648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0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507.72173863352543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74.804880143033586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-1774.9960189422513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-261.51798189436317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398.38868545161984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58.696359832368444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358.03122516814113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-926.24152901199625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616.64149573780423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1141493.1228846686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-4103322.8411940457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58310.637699983366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5523.7770288308739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600.00128951110446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-13444.376053096936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-1460.3491282191937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1653.8334830974359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179.64197637157832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2315.6088656799138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-3716.0330995922486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1521.7785175396139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148165.5928620192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0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-532610.53376596421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0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9118.9274901136869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0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716.98522041557669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105.63659066847021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-1745.077485471897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-257.10995257434894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258.63527150367588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38.105873775789341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300.56559565858794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-482.34039807842214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237.98381401444351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131640.93023169442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279381.2609192034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73899.631324936796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170604.16698031148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-5235718.8160333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-11111754.695650134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68025.282181443195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144369.90893931329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1936.3363130183386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210.32787505256721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1087.0064454975313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128.43671690085012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-53175.9025355415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-5776.0495989814854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5864.6398694039635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637.02634371275087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981.66423634203829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551.0795542303614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-18326.523892749094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6526.1061328198311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11322.689644206264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32594.480440573727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6356.2494494745297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19903.819481036342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-450334.24721274915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-1296371.3811591824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10638.155235048649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30623.920078036153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166.54801117346281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24.538252089466177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93.495515429418248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14.984283638432515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-4573.7616704833536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-673.87245321450666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917.14355791961793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135.1268001814926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84.434829375290562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47.399412559875842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-1576.2995743763661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1020.5871684025033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264335.92989000474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46155.919325388342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-2774916.0797970947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42062.073739196596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19830.295113722073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2153.9976319676489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3462.5845296493235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409.12635874599647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-156129.18607324903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-16958.996079191089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18494.594263167895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2008.911719094875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18025.271665907887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3147.4078653479028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-108127.81450212662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36900.143434293757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23562.806984850849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0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4114.3215707566833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0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-247354.99262104018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0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6577.8906841154012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0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1767.6651691342108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260.43789550154298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308.65350380028929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49.467096102925026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-13917.297878032192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-2050.4967986658312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2892.2829640902505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426.13278889891285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1606.7660468632662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280.55877256131697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-9638.4733769168361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5770.6405833427443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173725.6895928522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160579.35300417311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-382196.51710427483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-353274.57660918083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6829.8321904039412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6312.9985946952511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2097.5267158188026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227.8366283987468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-3495.8778596980037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-379.72771399791134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372.71981286159337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40.485408295096619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1479.1174037745348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-1901.7223762815447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602.24788822871972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15485.843690980102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19415.503590504562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-34068.856120156226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-42714.107899110044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1068.0854638287665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1339.1209140262654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186.97275535328342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27.547519615484834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-311.62125892213902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-45.912532692474727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58.287905632261378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8.5878138807780697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131.84797809202749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-169.51882897546392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94.182726179195171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32587.879161176454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30121.857992009926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-160332.36547298817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-148199.54132068882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2626.3702311322763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2427.6250303167235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2171.5780956163871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235.88020494731566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-8903.4701920271873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-967.10884028399425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791.05064997842476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85.925157293343815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2200.9405888723845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-7734.7340694658096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1837.1085538474301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2904.8714907578624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3642.0064663066537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-14291.967734528682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-17918.671814228735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410.72573795390309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514.95076400657763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193.57366794907938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28.520061143629981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-793.65203859122551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-116.93225068888293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123.70870569578105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18.226548516769903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196.19102973365759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-689.47133306399678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287.29680131773125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694679.73413027311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-2518780.7618936659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99023.063131702322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35583.102351631147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3865.092161459509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-107514.8125200361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-11678.426883791119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22925.801421322485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2490.2363625601311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43275.326793851265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-112077.40286400929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63887.917638630657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108637.70958874666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-393900.3248322939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15485.752997470667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5564.6746977337698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819.86803424898665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-16813.737907099858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-2477.2420662587219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3585.258694810067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528.23195569457323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6767.6256461900493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-17527.260038822253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9991.1321745190671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178680.65524972283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183690.80267816613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193570.70985386643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198998.3695680133</v>
      </c>
    </row>
    <row r="425" spans="1:10" ht="14.7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 ca="1">SUMIFS(H3:H424,$F$3:$F$424,$D$425)*H423/SUM(H423:H424)</f>
        <v>-137317.43481230648</v>
      </c>
      <c r="I425" s="316">
        <f t="shared" ref="I425:J425" ca="1" si="0">SUMIFS(I3:I424,$F$3:$F$424,$D$425)*I423/SUM(I423:I424)</f>
        <v>-138422.3223713756</v>
      </c>
      <c r="J425" s="317">
        <f t="shared" ca="1" si="0"/>
        <v>-266578.82140024804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131643.38274019925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13682.774185646154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5124.8906695637379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532.67183126214638</v>
      </c>
    </row>
    <row r="428" spans="1:10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673.41063398067524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69.993078627846032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68227.353372786543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7091.4272335775522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104298.25769715841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4757.7690216638703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1998.1908506566576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91.151383911233253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9301.7197912348547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424.31614149716188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9178.0110416364168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418.67292492246872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3992.121653443267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257.33473418730972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1936.2113529868684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124.80943145146263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255.57342838088991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16.474427877469587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2626.9066309529435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169.33209413297848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8276.4182574830029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503.71416194271836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30.527432281785558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1.857941381125793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437177156.65742028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51349296.347956866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12139697.543484073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1425886.3191779424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5773758.5877546193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678165.44448707008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10585224.077550136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1243303.3148929619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123839719.45273688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14545779.341370106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17839433.585241836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2095357.334889537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168179224.5048525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19753742.177879784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12065674.997487217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1417191.890402467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8956728.0656193458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1052025.8818325063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296534319.26339751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34829881.674553886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8679939.1124959849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-9206.2327866666437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5754194.0104801925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707869.25082461175</v>
      </c>
    </row>
    <row r="461" spans="1:10" x14ac:dyDescent="0.55000000000000004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-12008.862001645197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-1477.3057934574824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6666.5489528999733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5559.5923198662958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15425466.694012061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3007950.5478875069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34824972.645088904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43688934.297361225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61">
        <f ca="1">SUMIFS('Forbrug af biomasse'!$E$1:$E$425,'Forbrug af biomasse'!$A$1:$A$425,"Biogas",'Forbrug af biomasse'!$B$1:$B$425,$A$1,'Forbrug af biomasse'!$D$1:$D$425,I$2)*'[1]Processer - data'!I474</f>
        <v>3926338.169828245</v>
      </c>
      <c r="J474" s="262">
        <f ca="1">SUMIFS('Forbrug af biomasse'!$E$1:$E$425,'Forbrug af biomasse'!$A$1:$A$425,"Biogas",'Forbrug af biomasse'!$B$1:$B$425,$A$1,'Forbrug af biomasse'!$D$1:$D$425,J$2)*'[1]Processer - data'!J474</f>
        <v>3428084.2294498845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61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1277879.9248952419</v>
      </c>
      <c r="J475" s="262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61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1088263.6426440079</v>
      </c>
      <c r="J476" s="262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44625.32708114179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61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1187.4260221450336</v>
      </c>
      <c r="J477" s="262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330.0860580073288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61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454194.29710146622</v>
      </c>
      <c r="J478" s="262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29522.477599636633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12613034.84027173</v>
      </c>
      <c r="I479" s="261">
        <f ca="1">I474*'[1]Processer - data'!I$479*Biogasanlæg!AB$3</f>
        <v>18838480.682286877</v>
      </c>
      <c r="J479" s="262">
        <f ca="1">J474*'[1]Processer - data'!J$479*Biogasanlæg!AC$3</f>
        <v>2433645.9629572071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Østdanmark'!H$3:H$504,'Resultater - Østdanmark'!$F$3:$F$504,"Gødning",'Resultater - Østdanmark'!$A$3:$A$504,"&lt;&gt;Gødning")-SUM(H475:H479)</f>
        <v>59971256.963903613</v>
      </c>
      <c r="I480" s="261">
        <f ca="1">-SUMIFS('Resultater - Østdanmark'!I$3:I$504,'Resultater - Østdanmark'!$F$3:$F$504,"Gødning",'Resultater - Østdanmark'!$A$3:$A$504,"&lt;&gt;Gødning")-SUM(I475:I479)</f>
        <v>76394168.229664326</v>
      </c>
      <c r="J480" s="262">
        <f ca="1">-SUMIFS('Resultater - Østdanmark'!J$3:J$504,'Resultater - Østdanmark'!$F$3:$F$504,"Gødning",'Resultater - Østdanmark'!$A$3:$A$504,"&lt;&gt;Gødning")-SUM(J475:J479)</f>
        <v>155749231.10139814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6.1853243284565833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3.4480321865332897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1.6366851565770699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3.4967588038534942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0.74069262622754706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0.62612007092909838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9.4059039757787311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9.3014085239225324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55000000000000004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55000000000000004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3.9778561239632375</v>
      </c>
      <c r="I489" s="261">
        <f ca="1">SUM(I455:I473)*'[1]Processer - data'!$H$489</f>
        <v>3.3465453695053768</v>
      </c>
      <c r="J489" s="262">
        <f ca="1">SUM(J455:J473)*'[1]Processer - data'!$H$489</f>
        <v>2.9112433041252777</v>
      </c>
    </row>
    <row r="490" spans="1:10" x14ac:dyDescent="0.55000000000000004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55000000000000004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4.7" thickBot="1" x14ac:dyDescent="0.6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55000000000000004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9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80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73066.301632904913</v>
      </c>
      <c r="J493" s="281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156105.30374345958</v>
      </c>
    </row>
    <row r="494" spans="1:10" ht="14.7" thickBot="1" x14ac:dyDescent="0.6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46762.433045059144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99907.394395814132</v>
      </c>
    </row>
    <row r="495" spans="1:10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4.7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51">
        <f>'Resultater - Vestdanmark'!H3+'Resultater - Østdanmark'!H3</f>
        <v>6905432.901678659</v>
      </c>
      <c r="I3" s="252">
        <f>'Resultater - Vestdanmark'!I3+'Resultater - Østdanmark'!I3</f>
        <v>7187550.2724163011</v>
      </c>
      <c r="J3" s="253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8978765.8922933973</v>
      </c>
      <c r="O3" s="94">
        <f ca="1">SUMIF($F$3:$F$509,$L$3,J$3:J$509)</f>
        <v>876093.34184195183</v>
      </c>
      <c r="Q3" s="94"/>
      <c r="U3" s="94"/>
    </row>
    <row r="4" spans="1:21" x14ac:dyDescent="0.55000000000000004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4">
        <f ca="1">'Resultater - Vestdanmark'!H4+'Resultater - Østdanmark'!H4</f>
        <v>358674.32551850227</v>
      </c>
      <c r="I4" s="255">
        <f ca="1">'Resultater - Vestdanmark'!I4+'Resultater - Østdanmark'!I4</f>
        <v>363994.97174274386</v>
      </c>
      <c r="J4" s="256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1383287.873779177</v>
      </c>
      <c r="N4" s="94">
        <f t="shared" si="0"/>
        <v>956753.90896861535</v>
      </c>
      <c r="O4" s="94">
        <f t="shared" si="0"/>
        <v>101618.25379267999</v>
      </c>
    </row>
    <row r="5" spans="1:21" x14ac:dyDescent="0.55000000000000004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4">
        <f>'Resultater - Vestdanmark'!H5+'Resultater - Østdanmark'!H5</f>
        <v>982809</v>
      </c>
      <c r="I5" s="255">
        <f>'Resultater - Vestdanmark'!I5+'Resultater - Østdanmark'!I5</f>
        <v>982809</v>
      </c>
      <c r="J5" s="256">
        <f>'Resultater - Vestdanmark'!J5+'Resultater - Østdanmark'!J5</f>
        <v>982809</v>
      </c>
      <c r="L5" s="94" t="s">
        <v>168</v>
      </c>
      <c r="M5" s="94">
        <f t="shared" si="0"/>
        <v>4119285.0829287488</v>
      </c>
      <c r="N5" s="94">
        <f t="shared" si="0"/>
        <v>2661868.2774193259</v>
      </c>
      <c r="O5" s="94">
        <f t="shared" si="0"/>
        <v>353174.11012668692</v>
      </c>
    </row>
    <row r="6" spans="1:21" x14ac:dyDescent="0.55000000000000004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4">
        <f>'Resultater - Vestdanmark'!H6+'Resultater - Østdanmark'!H6</f>
        <v>355018</v>
      </c>
      <c r="I6" s="255">
        <f>'Resultater - Vestdanmark'!I6+'Resultater - Østdanmark'!I6</f>
        <v>355018</v>
      </c>
      <c r="J6" s="256">
        <f>'Resultater - Vestdanmark'!J6+'Resultater - Østdanmark'!J6</f>
        <v>355018</v>
      </c>
      <c r="L6" s="94" t="s">
        <v>169</v>
      </c>
      <c r="M6" s="94">
        <f t="shared" si="0"/>
        <v>16688.944028790498</v>
      </c>
      <c r="N6" s="94">
        <f t="shared" si="0"/>
        <v>13530.076428940514</v>
      </c>
      <c r="O6" s="94">
        <f t="shared" si="0"/>
        <v>7240.2366053086025</v>
      </c>
    </row>
    <row r="7" spans="1:21" x14ac:dyDescent="0.55000000000000004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4">
        <f>'Resultater - Vestdanmark'!H7+'Resultater - Østdanmark'!H7</f>
        <v>880.09999999999991</v>
      </c>
      <c r="I7" s="255">
        <f>'Resultater - Vestdanmark'!I7+'Resultater - Østdanmark'!I7</f>
        <v>880.09999999999991</v>
      </c>
      <c r="J7" s="256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31092.488650055093</v>
      </c>
      <c r="O7" s="94">
        <f>SUMIFS(J$3:J$509,$F$3:$F$509,$L$3,$C$3:$C$509,$L7)+SUMIFS(J$3:J$509,$F$3:$F$509,$L$3,$C$3:$C$509,"",$A$3:$A$509,"Grøntsager I drivhus")</f>
        <v>97771.16740350968</v>
      </c>
    </row>
    <row r="8" spans="1:21" x14ac:dyDescent="0.55000000000000004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4">
        <f>'Resultater - Vestdanmark'!H8+'Resultater - Østdanmark'!H8</f>
        <v>-142.57619999999997</v>
      </c>
      <c r="I8" s="255">
        <f>'Resultater - Vestdanmark'!I8+'Resultater - Østdanmark'!I8</f>
        <v>-142.57619999999997</v>
      </c>
      <c r="J8" s="256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1151150.3214616426</v>
      </c>
      <c r="O8" s="94">
        <f>SUMIFS(J$3:J$509,$F$3:$F$509,$L$3,$C$3:$C$509,$L8)</f>
        <v>127526.36326668343</v>
      </c>
    </row>
    <row r="9" spans="1:21" x14ac:dyDescent="0.55000000000000004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4">
        <f>'Resultater - Vestdanmark'!H9+'Resultater - Østdanmark'!H9</f>
        <v>76.5</v>
      </c>
      <c r="I9" s="255">
        <f>'Resultater - Vestdanmark'!I9+'Resultater - Østdanmark'!I9</f>
        <v>382.5</v>
      </c>
      <c r="J9" s="256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2149381.2586859707</v>
      </c>
      <c r="O9" s="94">
        <f>SUMIFS(J$3:J$509,$F$3:$F$509,$L$3,$C$3:$C$509,$L9)</f>
        <v>0</v>
      </c>
    </row>
    <row r="10" spans="1:21" x14ac:dyDescent="0.55000000000000004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4">
        <f>'Resultater - Vestdanmark'!H10+'Resultater - Østdanmark'!H10</f>
        <v>-15.861000000000001</v>
      </c>
      <c r="I10" s="255">
        <f>'Resultater - Vestdanmark'!I10+'Resultater - Østdanmark'!I10</f>
        <v>-15.861000000000001</v>
      </c>
      <c r="J10" s="256">
        <f>'Resultater - Vestdanmark'!J10+'Resultater - Østdanmark'!J10</f>
        <v>-15.861000000000001</v>
      </c>
    </row>
    <row r="11" spans="1:21" x14ac:dyDescent="0.55000000000000004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4">
        <f>'Resultater - Vestdanmark'!H11+'Resultater - Østdanmark'!H11</f>
        <v>1724391.5316257188</v>
      </c>
      <c r="I11" s="255">
        <f>'Resultater - Vestdanmark'!I11+'Resultater - Østdanmark'!I11</f>
        <v>1631885.8233455163</v>
      </c>
      <c r="J11" s="256">
        <f>'Resultater - Vestdanmark'!J11+'Resultater - Østdanmark'!J11</f>
        <v>1476221.0184099278</v>
      </c>
    </row>
    <row r="12" spans="1:21" x14ac:dyDescent="0.55000000000000004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4">
        <f>'Resultater - Vestdanmark'!H12+'Resultater - Østdanmark'!H12</f>
        <v>2113608.4683742807</v>
      </c>
      <c r="I12" s="255">
        <f>'Resultater - Vestdanmark'!I12+'Resultater - Østdanmark'!I12</f>
        <v>2000223.0539784776</v>
      </c>
      <c r="J12" s="256">
        <f>'Resultater - Vestdanmark'!J12+'Resultater - Østdanmark'!J12</f>
        <v>1809422.7375158332</v>
      </c>
    </row>
    <row r="13" spans="1:21" x14ac:dyDescent="0.55000000000000004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4">
        <f>'Resultater - Vestdanmark'!H13+'Resultater - Østdanmark'!H13</f>
        <v>-562410</v>
      </c>
      <c r="I13" s="255">
        <f>'Resultater - Vestdanmark'!I13+'Resultater - Østdanmark'!I13</f>
        <v>-532239.27923287847</v>
      </c>
      <c r="J13" s="256">
        <f>'Resultater - Vestdanmark'!J13+'Resultater - Østdanmark'!J13</f>
        <v>-481469.23000787059</v>
      </c>
    </row>
    <row r="14" spans="1:21" x14ac:dyDescent="0.55000000000000004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4">
        <f>'Resultater - Vestdanmark'!H14+'Resultater - Østdanmark'!H14</f>
        <v>-1263438.0423418714</v>
      </c>
      <c r="I14" s="255">
        <f>'Resultater - Vestdanmark'!I14+'Resultater - Østdanmark'!I14</f>
        <v>-1195660.3776807606</v>
      </c>
      <c r="J14" s="256">
        <f>'Resultater - Vestdanmark'!J14+'Resultater - Østdanmark'!J14</f>
        <v>-1081606.9084991238</v>
      </c>
    </row>
    <row r="15" spans="1:21" x14ac:dyDescent="0.55000000000000004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4">
        <f ca="1">'Resultater - Vestdanmark'!H15+'Resultater - Østdanmark'!H15</f>
        <v>0</v>
      </c>
      <c r="I15" s="255">
        <f ca="1">'Resultater - Vestdanmark'!I15+'Resultater - Østdanmark'!I15</f>
        <v>0</v>
      </c>
      <c r="J15" s="256">
        <f ca="1">'Resultater - Vestdanmark'!J15+'Resultater - Østdanmark'!J15</f>
        <v>0</v>
      </c>
    </row>
    <row r="16" spans="1:21" x14ac:dyDescent="0.55000000000000004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4">
        <f ca="1">'Resultater - Vestdanmark'!H16+'Resultater - Østdanmark'!H16</f>
        <v>0</v>
      </c>
      <c r="I16" s="255">
        <f ca="1">'Resultater - Vestdanmark'!I16+'Resultater - Østdanmark'!I16</f>
        <v>0</v>
      </c>
      <c r="J16" s="256">
        <f ca="1">'Resultater - Vestdanmark'!J16+'Resultater - Østdanmark'!J16</f>
        <v>0</v>
      </c>
    </row>
    <row r="17" spans="1:10" x14ac:dyDescent="0.55000000000000004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4">
        <f ca="1">'Resultater - Vestdanmark'!H17+'Resultater - Østdanmark'!H17</f>
        <v>0</v>
      </c>
      <c r="I17" s="255">
        <f ca="1">'Resultater - Vestdanmark'!I17+'Resultater - Østdanmark'!I17</f>
        <v>-17624.379300435641</v>
      </c>
      <c r="J17" s="256">
        <f ca="1">'Resultater - Vestdanmark'!J17+'Resultater - Østdanmark'!J17</f>
        <v>-10911.961238285759</v>
      </c>
    </row>
    <row r="18" spans="1:10" x14ac:dyDescent="0.55000000000000004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4">
        <f ca="1">'Resultater - Vestdanmark'!H18+'Resultater - Østdanmark'!H18</f>
        <v>0</v>
      </c>
      <c r="I18" s="255">
        <f ca="1">'Resultater - Vestdanmark'!I18+'Resultater - Østdanmark'!I18</f>
        <v>0</v>
      </c>
      <c r="J18" s="256">
        <f ca="1">'Resultater - Vestdanmark'!J18+'Resultater - Østdanmark'!J18</f>
        <v>0</v>
      </c>
    </row>
    <row r="19" spans="1:10" x14ac:dyDescent="0.55000000000000004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4">
        <f ca="1">'Resultater - Vestdanmark'!H19+'Resultater - Østdanmark'!H19</f>
        <v>0</v>
      </c>
      <c r="I19" s="255">
        <f ca="1">'Resultater - Vestdanmark'!I19+'Resultater - Østdanmark'!I19</f>
        <v>0</v>
      </c>
      <c r="J19" s="256">
        <f ca="1">'Resultater - Vestdanmark'!J19+'Resultater - Østdanmark'!J19</f>
        <v>0</v>
      </c>
    </row>
    <row r="20" spans="1:10" x14ac:dyDescent="0.55000000000000004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4">
        <f ca="1">'Resultater - Vestdanmark'!H20+'Resultater - Østdanmark'!H20</f>
        <v>0</v>
      </c>
      <c r="I20" s="255">
        <f ca="1">'Resultater - Vestdanmark'!I20+'Resultater - Østdanmark'!I20</f>
        <v>0</v>
      </c>
      <c r="J20" s="256">
        <f ca="1">'Resultater - Vestdanmark'!J20+'Resultater - Østdanmark'!J20</f>
        <v>0</v>
      </c>
    </row>
    <row r="21" spans="1:10" x14ac:dyDescent="0.55000000000000004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4">
        <f ca="1">'Resultater - Vestdanmark'!H21+'Resultater - Østdanmark'!H21</f>
        <v>0</v>
      </c>
      <c r="I21" s="255">
        <f ca="1">'Resultater - Vestdanmark'!I21+'Resultater - Østdanmark'!I21</f>
        <v>-3898.3137499999993</v>
      </c>
      <c r="J21" s="256">
        <f ca="1">'Resultater - Vestdanmark'!J21+'Resultater - Østdanmark'!J21</f>
        <v>-24343.304953738909</v>
      </c>
    </row>
    <row r="22" spans="1:10" x14ac:dyDescent="0.55000000000000004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4">
        <f ca="1">'Resultater - Vestdanmark'!H22+'Resultater - Østdanmark'!H22</f>
        <v>0</v>
      </c>
      <c r="I22" s="255">
        <f ca="1">'Resultater - Vestdanmark'!I22+'Resultater - Østdanmark'!I22</f>
        <v>0</v>
      </c>
      <c r="J22" s="256">
        <f ca="1">'Resultater - Vestdanmark'!J22+'Resultater - Østdanmark'!J22</f>
        <v>0</v>
      </c>
    </row>
    <row r="23" spans="1:10" x14ac:dyDescent="0.55000000000000004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4">
        <f ca="1">'Resultater - Vestdanmark'!H23+'Resultater - Østdanmark'!H23</f>
        <v>0</v>
      </c>
      <c r="I23" s="255">
        <f ca="1">'Resultater - Vestdanmark'!I23+'Resultater - Østdanmark'!I23</f>
        <v>0</v>
      </c>
      <c r="J23" s="256">
        <f ca="1">'Resultater - Vestdanmark'!J23+'Resultater - Østdanmark'!J23</f>
        <v>0</v>
      </c>
    </row>
    <row r="24" spans="1:10" x14ac:dyDescent="0.55000000000000004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4">
        <f ca="1">'Resultater - Vestdanmark'!H24+'Resultater - Østdanmark'!H24</f>
        <v>0</v>
      </c>
      <c r="I24" s="255">
        <f ca="1">'Resultater - Vestdanmark'!I24+'Resultater - Østdanmark'!I24</f>
        <v>0</v>
      </c>
      <c r="J24" s="256">
        <f ca="1">'Resultater - Vestdanmark'!J24+'Resultater - Østdanmark'!J24</f>
        <v>0</v>
      </c>
    </row>
    <row r="25" spans="1:10" x14ac:dyDescent="0.55000000000000004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4">
        <f ca="1">'Resultater - Vestdanmark'!H25+'Resultater - Østdanmark'!H25</f>
        <v>0</v>
      </c>
      <c r="I25" s="255">
        <f ca="1">'Resultater - Vestdanmark'!I25+'Resultater - Østdanmark'!I25</f>
        <v>0</v>
      </c>
      <c r="J25" s="256">
        <f ca="1">'Resultater - Vestdanmark'!J25+'Resultater - Østdanmark'!J25</f>
        <v>-98696.524082439588</v>
      </c>
    </row>
    <row r="26" spans="1:10" x14ac:dyDescent="0.55000000000000004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4">
        <f ca="1">'Resultater - Vestdanmark'!H26+'Resultater - Østdanmark'!H26</f>
        <v>0</v>
      </c>
      <c r="I26" s="255">
        <f ca="1">'Resultater - Vestdanmark'!I26+'Resultater - Østdanmark'!I26</f>
        <v>0</v>
      </c>
      <c r="J26" s="256">
        <f ca="1">'Resultater - Vestdanmark'!J26+'Resultater - Østdanmark'!J26</f>
        <v>0</v>
      </c>
    </row>
    <row r="27" spans="1:10" x14ac:dyDescent="0.55000000000000004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4">
        <f ca="1">'Resultater - Vestdanmark'!H27+'Resultater - Østdanmark'!H27</f>
        <v>0</v>
      </c>
      <c r="I27" s="255">
        <f ca="1">'Resultater - Vestdanmark'!I27+'Resultater - Østdanmark'!I27</f>
        <v>0</v>
      </c>
      <c r="J27" s="256">
        <f ca="1">'Resultater - Vestdanmark'!J27+'Resultater - Østdanmark'!J27</f>
        <v>1347.5292178032605</v>
      </c>
    </row>
    <row r="28" spans="1:10" x14ac:dyDescent="0.55000000000000004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4">
        <f ca="1">'Resultater - Vestdanmark'!H28+'Resultater - Østdanmark'!H28</f>
        <v>0</v>
      </c>
      <c r="I28" s="255">
        <f ca="1">'Resultater - Vestdanmark'!I28+'Resultater - Østdanmark'!I28</f>
        <v>0</v>
      </c>
      <c r="J28" s="256">
        <f ca="1">'Resultater - Vestdanmark'!J28+'Resultater - Østdanmark'!J28</f>
        <v>703.93317347931509</v>
      </c>
    </row>
    <row r="29" spans="1:10" x14ac:dyDescent="0.55000000000000004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4">
        <f ca="1">'Resultater - Vestdanmark'!H29+'Resultater - Østdanmark'!H29</f>
        <v>0</v>
      </c>
      <c r="I29" s="255">
        <f ca="1">'Resultater - Vestdanmark'!I29+'Resultater - Østdanmark'!I29</f>
        <v>0</v>
      </c>
      <c r="J29" s="256">
        <f ca="1">'Resultater - Vestdanmark'!J29+'Resultater - Østdanmark'!J29</f>
        <v>-10243.479150761603</v>
      </c>
    </row>
    <row r="30" spans="1:10" x14ac:dyDescent="0.55000000000000004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4">
        <f ca="1">'Resultater - Vestdanmark'!H30+'Resultater - Østdanmark'!H30</f>
        <v>0</v>
      </c>
      <c r="I30" s="255">
        <f ca="1">'Resultater - Vestdanmark'!I30+'Resultater - Østdanmark'!I30</f>
        <v>0</v>
      </c>
      <c r="J30" s="256">
        <f ca="1">'Resultater - Vestdanmark'!J30+'Resultater - Østdanmark'!J30</f>
        <v>-7192.5984435875089</v>
      </c>
    </row>
    <row r="31" spans="1:10" x14ac:dyDescent="0.55000000000000004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4">
        <f ca="1">'Resultater - Vestdanmark'!H31+'Resultater - Østdanmark'!H31</f>
        <v>0</v>
      </c>
      <c r="I31" s="255">
        <f ca="1">'Resultater - Vestdanmark'!I31+'Resultater - Østdanmark'!I31</f>
        <v>0</v>
      </c>
      <c r="J31" s="256">
        <f ca="1">'Resultater - Vestdanmark'!J31+'Resultater - Østdanmark'!J31</f>
        <v>0</v>
      </c>
    </row>
    <row r="32" spans="1:10" x14ac:dyDescent="0.55000000000000004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4">
        <f ca="1">'Resultater - Vestdanmark'!H32+'Resultater - Østdanmark'!H32</f>
        <v>0</v>
      </c>
      <c r="I32" s="255">
        <f ca="1">'Resultater - Vestdanmark'!I32+'Resultater - Østdanmark'!I32</f>
        <v>0</v>
      </c>
      <c r="J32" s="256">
        <f ca="1">'Resultater - Vestdanmark'!J32+'Resultater - Østdanmark'!J32</f>
        <v>0</v>
      </c>
    </row>
    <row r="33" spans="1:10" x14ac:dyDescent="0.55000000000000004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4">
        <f ca="1">'Resultater - Vestdanmark'!H33+'Resultater - Østdanmark'!H33</f>
        <v>0</v>
      </c>
      <c r="I33" s="255">
        <f ca="1">'Resultater - Vestdanmark'!I33+'Resultater - Østdanmark'!I33</f>
        <v>-793218.70311657991</v>
      </c>
      <c r="J33" s="256">
        <f ca="1">'Resultater - Vestdanmark'!J33+'Resultater - Østdanmark'!J33</f>
        <v>-509098.76151055703</v>
      </c>
    </row>
    <row r="34" spans="1:10" x14ac:dyDescent="0.55000000000000004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4">
        <f ca="1">'Resultater - Vestdanmark'!H34+'Resultater - Østdanmark'!H34</f>
        <v>0</v>
      </c>
      <c r="I34" s="255">
        <f ca="1">'Resultater - Vestdanmark'!I34+'Resultater - Østdanmark'!I34</f>
        <v>0</v>
      </c>
      <c r="J34" s="256">
        <f ca="1">'Resultater - Vestdanmark'!J34+'Resultater - Østdanmark'!J34</f>
        <v>0</v>
      </c>
    </row>
    <row r="35" spans="1:10" x14ac:dyDescent="0.55000000000000004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4">
        <f ca="1">'Resultater - Vestdanmark'!H35+'Resultater - Østdanmark'!H35</f>
        <v>0</v>
      </c>
      <c r="I35" s="255">
        <f ca="1">'Resultater - Vestdanmark'!I35+'Resultater - Østdanmark'!I35</f>
        <v>14543.980169902705</v>
      </c>
      <c r="J35" s="256">
        <f ca="1">'Resultater - Vestdanmark'!J35+'Resultater - Østdanmark'!J35</f>
        <v>91624.278695010435</v>
      </c>
    </row>
    <row r="36" spans="1:10" x14ac:dyDescent="0.55000000000000004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4">
        <f ca="1">'Resultater - Vestdanmark'!H36+'Resultater - Østdanmark'!H36</f>
        <v>0</v>
      </c>
      <c r="I36" s="255">
        <f ca="1">'Resultater - Vestdanmark'!I36+'Resultater - Østdanmark'!I36</f>
        <v>3635.9950424756757</v>
      </c>
      <c r="J36" s="256">
        <f ca="1">'Resultater - Vestdanmark'!J36+'Resultater - Østdanmark'!J36</f>
        <v>22906.069673752601</v>
      </c>
    </row>
    <row r="37" spans="1:10" x14ac:dyDescent="0.55000000000000004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4">
        <f ca="1">'Resultater - Vestdanmark'!H37+'Resultater - Østdanmark'!H37</f>
        <v>0</v>
      </c>
      <c r="I37" s="255">
        <f ca="1">'Resultater - Vestdanmark'!I37+'Resultater - Østdanmark'!I37</f>
        <v>-101909.24953405237</v>
      </c>
      <c r="J37" s="256">
        <f ca="1">'Resultater - Vestdanmark'!J37+'Resultater - Østdanmark'!J37</f>
        <v>-642008.67794292653</v>
      </c>
    </row>
    <row r="38" spans="1:10" x14ac:dyDescent="0.55000000000000004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4">
        <f ca="1">'Resultater - Vestdanmark'!H38+'Resultater - Østdanmark'!H38</f>
        <v>0</v>
      </c>
      <c r="I38" s="255">
        <f ca="1">'Resultater - Vestdanmark'!I38+'Resultater - Østdanmark'!I38</f>
        <v>-91718.324580647168</v>
      </c>
      <c r="J38" s="256">
        <f ca="1">'Resultater - Vestdanmark'!J38+'Resultater - Østdanmark'!J38</f>
        <v>-577807.81014863402</v>
      </c>
    </row>
    <row r="39" spans="1:10" x14ac:dyDescent="0.55000000000000004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4">
        <f ca="1">'Resultater - Vestdanmark'!H39+'Resultater - Østdanmark'!H39</f>
        <v>0</v>
      </c>
      <c r="I39" s="255">
        <f ca="1">'Resultater - Vestdanmark'!I39+'Resultater - Østdanmark'!I39</f>
        <v>0</v>
      </c>
      <c r="J39" s="256">
        <f ca="1">'Resultater - Vestdanmark'!J39+'Resultater - Østdanmark'!J39</f>
        <v>149480.974435896</v>
      </c>
    </row>
    <row r="40" spans="1:10" x14ac:dyDescent="0.55000000000000004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4">
        <f ca="1">'Resultater - Vestdanmark'!H40+'Resultater - Østdanmark'!H40</f>
        <v>0</v>
      </c>
      <c r="I40" s="255">
        <f ca="1">'Resultater - Vestdanmark'!I40+'Resultater - Østdanmark'!I40</f>
        <v>0</v>
      </c>
      <c r="J40" s="256">
        <f ca="1">'Resultater - Vestdanmark'!J40+'Resultater - Østdanmark'!J40</f>
        <v>51743.414227810164</v>
      </c>
    </row>
    <row r="41" spans="1:10" x14ac:dyDescent="0.55000000000000004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4">
        <f ca="1">'Resultater - Vestdanmark'!H41+'Resultater - Østdanmark'!H41</f>
        <v>0</v>
      </c>
      <c r="I41" s="255">
        <f ca="1">'Resultater - Vestdanmark'!I41+'Resultater - Østdanmark'!I41</f>
        <v>0</v>
      </c>
      <c r="J41" s="256">
        <f ca="1">'Resultater - Vestdanmark'!J41+'Resultater - Østdanmark'!J41</f>
        <v>-30950.637522002849</v>
      </c>
    </row>
    <row r="42" spans="1:10" x14ac:dyDescent="0.55000000000000004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4">
        <f ca="1">'Resultater - Vestdanmark'!H42+'Resultater - Østdanmark'!H42</f>
        <v>0</v>
      </c>
      <c r="I42" s="255">
        <f ca="1">'Resultater - Vestdanmark'!I42+'Resultater - Østdanmark'!I42</f>
        <v>0</v>
      </c>
      <c r="J42" s="256">
        <f ca="1">'Resultater - Vestdanmark'!J42+'Resultater - Østdanmark'!J42</f>
        <v>-942667.98852728668</v>
      </c>
    </row>
    <row r="43" spans="1:10" x14ac:dyDescent="0.55000000000000004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4">
        <f ca="1">'Resultater - Vestdanmark'!H43+'Resultater - Østdanmark'!H43</f>
        <v>0</v>
      </c>
      <c r="I43" s="255">
        <f ca="1">'Resultater - Vestdanmark'!I43+'Resultater - Østdanmark'!I43</f>
        <v>0</v>
      </c>
      <c r="J43" s="256">
        <f ca="1">'Resultater - Vestdanmark'!J43+'Resultater - Østdanmark'!J43</f>
        <v>6847.2122918841105</v>
      </c>
    </row>
    <row r="44" spans="1:10" x14ac:dyDescent="0.55000000000000004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4">
        <f ca="1">'Resultater - Vestdanmark'!H44+'Resultater - Østdanmark'!H44</f>
        <v>0</v>
      </c>
      <c r="I44" s="255">
        <f ca="1">'Resultater - Vestdanmark'!I44+'Resultater - Østdanmark'!I44</f>
        <v>0</v>
      </c>
      <c r="J44" s="256">
        <f ca="1">'Resultater - Vestdanmark'!J44+'Resultater - Østdanmark'!J44</f>
        <v>3423.6061459420562</v>
      </c>
    </row>
    <row r="45" spans="1:10" x14ac:dyDescent="0.55000000000000004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4">
        <f ca="1">'Resultater - Vestdanmark'!H45+'Resultater - Østdanmark'!H45</f>
        <v>0</v>
      </c>
      <c r="I45" s="255">
        <f ca="1">'Resultater - Vestdanmark'!I45+'Resultater - Østdanmark'!I45</f>
        <v>0</v>
      </c>
      <c r="J45" s="256">
        <f ca="1">'Resultater - Vestdanmark'!J45+'Resultater - Østdanmark'!J45</f>
        <v>-77107.852002187923</v>
      </c>
    </row>
    <row r="46" spans="1:10" x14ac:dyDescent="0.55000000000000004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4">
        <f ca="1">'Resultater - Vestdanmark'!H46+'Resultater - Østdanmark'!H46</f>
        <v>0</v>
      </c>
      <c r="I46" s="255">
        <f ca="1">'Resultater - Vestdanmark'!I46+'Resultater - Østdanmark'!I46</f>
        <v>0</v>
      </c>
      <c r="J46" s="256">
        <f ca="1">'Resultater - Vestdanmark'!J46+'Resultater - Østdanmark'!J46</f>
        <v>-43180.397121225236</v>
      </c>
    </row>
    <row r="47" spans="1:10" x14ac:dyDescent="0.55000000000000004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4">
        <f ca="1">'Resultater - Vestdanmark'!H47+'Resultater - Østdanmark'!H47</f>
        <v>0</v>
      </c>
      <c r="I47" s="255">
        <f ca="1">'Resultater - Vestdanmark'!I47+'Resultater - Østdanmark'!I47</f>
        <v>0</v>
      </c>
      <c r="J47" s="256">
        <f ca="1">'Resultater - Vestdanmark'!J47+'Resultater - Østdanmark'!J47</f>
        <v>0</v>
      </c>
    </row>
    <row r="48" spans="1:10" x14ac:dyDescent="0.55000000000000004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4">
        <f ca="1">'Resultater - Vestdanmark'!H48+'Resultater - Østdanmark'!H48</f>
        <v>0</v>
      </c>
      <c r="I48" s="255">
        <f ca="1">'Resultater - Vestdanmark'!I48+'Resultater - Østdanmark'!I48</f>
        <v>0</v>
      </c>
      <c r="J48" s="256">
        <f ca="1">'Resultater - Vestdanmark'!J48+'Resultater - Østdanmark'!J48</f>
        <v>0</v>
      </c>
    </row>
    <row r="49" spans="1:10" x14ac:dyDescent="0.55000000000000004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4">
        <f ca="1">'Resultater - Vestdanmark'!H49+'Resultater - Østdanmark'!H49</f>
        <v>0</v>
      </c>
      <c r="I49" s="255">
        <f ca="1">'Resultater - Vestdanmark'!I49+'Resultater - Østdanmark'!I49</f>
        <v>-17624.379300435641</v>
      </c>
      <c r="J49" s="256">
        <f ca="1">'Resultater - Vestdanmark'!J49+'Resultater - Østdanmark'!J49</f>
        <v>-10909.339284690943</v>
      </c>
    </row>
    <row r="50" spans="1:10" x14ac:dyDescent="0.55000000000000004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4">
        <f ca="1">'Resultater - Vestdanmark'!H50+'Resultater - Østdanmark'!H50</f>
        <v>0</v>
      </c>
      <c r="I50" s="255">
        <f ca="1">'Resultater - Vestdanmark'!I50+'Resultater - Østdanmark'!I50</f>
        <v>0</v>
      </c>
      <c r="J50" s="256">
        <f ca="1">'Resultater - Vestdanmark'!J50+'Resultater - Østdanmark'!J50</f>
        <v>0</v>
      </c>
    </row>
    <row r="51" spans="1:10" x14ac:dyDescent="0.55000000000000004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4">
        <f ca="1">'Resultater - Vestdanmark'!H51+'Resultater - Østdanmark'!H51</f>
        <v>0</v>
      </c>
      <c r="I51" s="255">
        <f ca="1">'Resultater - Vestdanmark'!I51+'Resultater - Østdanmark'!I51</f>
        <v>0</v>
      </c>
      <c r="J51" s="256">
        <f ca="1">'Resultater - Vestdanmark'!J51+'Resultater - Østdanmark'!J51</f>
        <v>0</v>
      </c>
    </row>
    <row r="52" spans="1:10" x14ac:dyDescent="0.55000000000000004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4">
        <f ca="1">'Resultater - Vestdanmark'!H52+'Resultater - Østdanmark'!H52</f>
        <v>0</v>
      </c>
      <c r="I52" s="255">
        <f ca="1">'Resultater - Vestdanmark'!I52+'Resultater - Østdanmark'!I52</f>
        <v>0</v>
      </c>
      <c r="J52" s="256">
        <f ca="1">'Resultater - Vestdanmark'!J52+'Resultater - Østdanmark'!J52</f>
        <v>0</v>
      </c>
    </row>
    <row r="53" spans="1:10" x14ac:dyDescent="0.55000000000000004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4">
        <f ca="1">'Resultater - Vestdanmark'!H53+'Resultater - Østdanmark'!H53</f>
        <v>0</v>
      </c>
      <c r="I53" s="255">
        <f ca="1">'Resultater - Vestdanmark'!I53+'Resultater - Østdanmark'!I53</f>
        <v>-3012.3333522727266</v>
      </c>
      <c r="J53" s="256">
        <f ca="1">'Resultater - Vestdanmark'!J53+'Resultater - Østdanmark'!J53</f>
        <v>-18810.735646070974</v>
      </c>
    </row>
    <row r="54" spans="1:10" x14ac:dyDescent="0.55000000000000004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4">
        <f ca="1">'Resultater - Vestdanmark'!H54+'Resultater - Østdanmark'!H54</f>
        <v>0</v>
      </c>
      <c r="I54" s="255">
        <f ca="1">'Resultater - Vestdanmark'!I54+'Resultater - Østdanmark'!I54</f>
        <v>0</v>
      </c>
      <c r="J54" s="256">
        <f ca="1">'Resultater - Vestdanmark'!J54+'Resultater - Østdanmark'!J54</f>
        <v>0</v>
      </c>
    </row>
    <row r="55" spans="1:10" x14ac:dyDescent="0.55000000000000004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4">
        <f ca="1">'Resultater - Vestdanmark'!H55+'Resultater - Østdanmark'!H55</f>
        <v>0</v>
      </c>
      <c r="I55" s="255">
        <f ca="1">'Resultater - Vestdanmark'!I55+'Resultater - Østdanmark'!I55</f>
        <v>0</v>
      </c>
      <c r="J55" s="256">
        <f ca="1">'Resultater - Vestdanmark'!J55+'Resultater - Østdanmark'!J55</f>
        <v>0</v>
      </c>
    </row>
    <row r="56" spans="1:10" x14ac:dyDescent="0.55000000000000004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4">
        <f ca="1">'Resultater - Vestdanmark'!H56+'Resultater - Østdanmark'!H56</f>
        <v>0</v>
      </c>
      <c r="I56" s="255">
        <f ca="1">'Resultater - Vestdanmark'!I56+'Resultater - Østdanmark'!I56</f>
        <v>0</v>
      </c>
      <c r="J56" s="256">
        <f ca="1">'Resultater - Vestdanmark'!J56+'Resultater - Østdanmark'!J56</f>
        <v>0</v>
      </c>
    </row>
    <row r="57" spans="1:10" x14ac:dyDescent="0.55000000000000004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4">
        <f ca="1">'Resultater - Vestdanmark'!H57+'Resultater - Østdanmark'!H57</f>
        <v>0</v>
      </c>
      <c r="I57" s="255">
        <f ca="1">'Resultater - Vestdanmark'!I57+'Resultater - Østdanmark'!I57</f>
        <v>0</v>
      </c>
      <c r="J57" s="256">
        <f ca="1">'Resultater - Vestdanmark'!J57+'Resultater - Østdanmark'!J57</f>
        <v>-96934.086152396034</v>
      </c>
    </row>
    <row r="58" spans="1:10" x14ac:dyDescent="0.55000000000000004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4">
        <f ca="1">'Resultater - Vestdanmark'!H58+'Resultater - Østdanmark'!H58</f>
        <v>0</v>
      </c>
      <c r="I58" s="255">
        <f ca="1">'Resultater - Vestdanmark'!I58+'Resultater - Østdanmark'!I58</f>
        <v>0</v>
      </c>
      <c r="J58" s="256">
        <f ca="1">'Resultater - Vestdanmark'!J58+'Resultater - Østdanmark'!J58</f>
        <v>0</v>
      </c>
    </row>
    <row r="59" spans="1:10" x14ac:dyDescent="0.55000000000000004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4">
        <f ca="1">'Resultater - Vestdanmark'!H59+'Resultater - Østdanmark'!H59</f>
        <v>0</v>
      </c>
      <c r="I59" s="255">
        <f ca="1">'Resultater - Vestdanmark'!I59+'Resultater - Østdanmark'!I59</f>
        <v>0</v>
      </c>
      <c r="J59" s="256">
        <f ca="1">'Resultater - Vestdanmark'!J59+'Resultater - Østdanmark'!J59</f>
        <v>989.43856058566405</v>
      </c>
    </row>
    <row r="60" spans="1:10" x14ac:dyDescent="0.55000000000000004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4">
        <f ca="1">'Resultater - Vestdanmark'!H60+'Resultater - Østdanmark'!H60</f>
        <v>0</v>
      </c>
      <c r="I60" s="255">
        <f ca="1">'Resultater - Vestdanmark'!I60+'Resultater - Østdanmark'!I60</f>
        <v>0</v>
      </c>
      <c r="J60" s="256">
        <f ca="1">'Resultater - Vestdanmark'!J60+'Resultater - Østdanmark'!J60</f>
        <v>539.6937603194533</v>
      </c>
    </row>
    <row r="61" spans="1:10" x14ac:dyDescent="0.55000000000000004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4">
        <f ca="1">'Resultater - Vestdanmark'!H61+'Resultater - Østdanmark'!H61</f>
        <v>0</v>
      </c>
      <c r="I61" s="255">
        <f ca="1">'Resultater - Vestdanmark'!I61+'Resultater - Østdanmark'!I61</f>
        <v>0</v>
      </c>
      <c r="J61" s="256">
        <f ca="1">'Resultater - Vestdanmark'!J61+'Resultater - Østdanmark'!J61</f>
        <v>-9374.3169573347095</v>
      </c>
    </row>
    <row r="62" spans="1:10" x14ac:dyDescent="0.55000000000000004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4">
        <f ca="1">'Resultater - Vestdanmark'!H62+'Resultater - Østdanmark'!H62</f>
        <v>0</v>
      </c>
      <c r="I62" s="255">
        <f ca="1">'Resultater - Vestdanmark'!I62+'Resultater - Østdanmark'!I62</f>
        <v>0</v>
      </c>
      <c r="J62" s="256">
        <f ca="1">'Resultater - Vestdanmark'!J62+'Resultater - Østdanmark'!J62</f>
        <v>-1831.1651326203205</v>
      </c>
    </row>
    <row r="63" spans="1:10" x14ac:dyDescent="0.55000000000000004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4">
        <f ca="1">'Resultater - Vestdanmark'!H63+'Resultater - Østdanmark'!H63</f>
        <v>0</v>
      </c>
      <c r="I63" s="255">
        <f ca="1">'Resultater - Vestdanmark'!I63+'Resultater - Østdanmark'!I63</f>
        <v>0</v>
      </c>
      <c r="J63" s="256">
        <f ca="1">'Resultater - Vestdanmark'!J63+'Resultater - Østdanmark'!J63</f>
        <v>0</v>
      </c>
    </row>
    <row r="64" spans="1:10" x14ac:dyDescent="0.55000000000000004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4">
        <f ca="1">'Resultater - Vestdanmark'!H64+'Resultater - Østdanmark'!H64</f>
        <v>0</v>
      </c>
      <c r="I64" s="255">
        <f ca="1">'Resultater - Vestdanmark'!I64+'Resultater - Østdanmark'!I64</f>
        <v>0</v>
      </c>
      <c r="J64" s="256">
        <f ca="1">'Resultater - Vestdanmark'!J64+'Resultater - Østdanmark'!J64</f>
        <v>0</v>
      </c>
    </row>
    <row r="65" spans="1:10" x14ac:dyDescent="0.55000000000000004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4">
        <f ca="1">'Resultater - Vestdanmark'!H65+'Resultater - Østdanmark'!H65</f>
        <v>0</v>
      </c>
      <c r="I65" s="255">
        <f ca="1">'Resultater - Vestdanmark'!I65+'Resultater - Østdanmark'!I65</f>
        <v>-602886.79879022599</v>
      </c>
      <c r="J65" s="256">
        <f ca="1">'Resultater - Vestdanmark'!J65+'Resultater - Østdanmark'!J65</f>
        <v>-388113.52623808203</v>
      </c>
    </row>
    <row r="66" spans="1:10" x14ac:dyDescent="0.55000000000000004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4">
        <f ca="1">'Resultater - Vestdanmark'!H66+'Resultater - Østdanmark'!H66</f>
        <v>0</v>
      </c>
      <c r="I66" s="255">
        <f ca="1">'Resultater - Vestdanmark'!I66+'Resultater - Østdanmark'!I66</f>
        <v>0</v>
      </c>
      <c r="J66" s="256">
        <f ca="1">'Resultater - Vestdanmark'!J66+'Resultater - Østdanmark'!J66</f>
        <v>0</v>
      </c>
    </row>
    <row r="67" spans="1:10" x14ac:dyDescent="0.55000000000000004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4">
        <f ca="1">'Resultater - Vestdanmark'!H67+'Resultater - Østdanmark'!H67</f>
        <v>0</v>
      </c>
      <c r="I67" s="255">
        <f ca="1">'Resultater - Vestdanmark'!I67+'Resultater - Østdanmark'!I67</f>
        <v>3690.900807011652</v>
      </c>
      <c r="J67" s="256">
        <f ca="1">'Resultater - Vestdanmark'!J67+'Resultater - Østdanmark'!J67</f>
        <v>23334.948652800496</v>
      </c>
    </row>
    <row r="68" spans="1:10" x14ac:dyDescent="0.55000000000000004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4">
        <f ca="1">'Resultater - Vestdanmark'!H68+'Resultater - Østdanmark'!H68</f>
        <v>0</v>
      </c>
      <c r="I68" s="255">
        <f ca="1">'Resultater - Vestdanmark'!I68+'Resultater - Østdanmark'!I68</f>
        <v>12918.152824540775</v>
      </c>
      <c r="J68" s="256">
        <f ca="1">'Resultater - Vestdanmark'!J68+'Resultater - Østdanmark'!J68</f>
        <v>81672.320284801695</v>
      </c>
    </row>
    <row r="69" spans="1:10" x14ac:dyDescent="0.55000000000000004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4">
        <f ca="1">'Resultater - Vestdanmark'!H69+'Resultater - Østdanmark'!H69</f>
        <v>0</v>
      </c>
      <c r="I69" s="255">
        <f ca="1">'Resultater - Vestdanmark'!I69+'Resultater - Østdanmark'!I69</f>
        <v>-50920.44841197339</v>
      </c>
      <c r="J69" s="256">
        <f ca="1">'Resultater - Vestdanmark'!J69+'Resultater - Østdanmark'!J69</f>
        <v>-321933.88855470927</v>
      </c>
    </row>
    <row r="70" spans="1:10" x14ac:dyDescent="0.55000000000000004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4">
        <f ca="1">'Resultater - Vestdanmark'!H70+'Resultater - Østdanmark'!H70</f>
        <v>0</v>
      </c>
      <c r="I70" s="255">
        <f ca="1">'Resultater - Vestdanmark'!I70+'Resultater - Østdanmark'!I70</f>
        <v>-25460.224205986709</v>
      </c>
      <c r="J70" s="256">
        <f ca="1">'Resultater - Vestdanmark'!J70+'Resultater - Østdanmark'!J70</f>
        <v>-160966.94427735472</v>
      </c>
    </row>
    <row r="71" spans="1:10" x14ac:dyDescent="0.55000000000000004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4">
        <f ca="1">'Resultater - Vestdanmark'!H71+'Resultater - Østdanmark'!H71</f>
        <v>0</v>
      </c>
      <c r="I71" s="255">
        <f ca="1">'Resultater - Vestdanmark'!I71+'Resultater - Østdanmark'!I71</f>
        <v>0</v>
      </c>
      <c r="J71" s="256">
        <f ca="1">'Resultater - Vestdanmark'!J71+'Resultater - Østdanmark'!J71</f>
        <v>38490.358756869275</v>
      </c>
    </row>
    <row r="72" spans="1:10" x14ac:dyDescent="0.55000000000000004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4">
        <f ca="1">'Resultater - Vestdanmark'!H72+'Resultater - Østdanmark'!H72</f>
        <v>0</v>
      </c>
      <c r="I72" s="255">
        <f ca="1">'Resultater - Vestdanmark'!I72+'Resultater - Østdanmark'!I72</f>
        <v>0</v>
      </c>
      <c r="J72" s="256">
        <f ca="1">'Resultater - Vestdanmark'!J72+'Resultater - Østdanmark'!J72</f>
        <v>50906.603517149684</v>
      </c>
    </row>
    <row r="73" spans="1:10" x14ac:dyDescent="0.55000000000000004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4">
        <f ca="1">'Resultater - Vestdanmark'!H73+'Resultater - Østdanmark'!H73</f>
        <v>0</v>
      </c>
      <c r="I73" s="255">
        <f ca="1">'Resultater - Vestdanmark'!I73+'Resultater - Østdanmark'!I73</f>
        <v>0</v>
      </c>
      <c r="J73" s="256">
        <f ca="1">'Resultater - Vestdanmark'!J73+'Resultater - Østdanmark'!J73</f>
        <v>-277501.36615106347</v>
      </c>
    </row>
    <row r="74" spans="1:10" x14ac:dyDescent="0.55000000000000004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4">
        <f ca="1">'Resultater - Vestdanmark'!H74+'Resultater - Østdanmark'!H74</f>
        <v>0</v>
      </c>
      <c r="I74" s="255">
        <f ca="1">'Resultater - Vestdanmark'!I74+'Resultater - Østdanmark'!I74</f>
        <v>0</v>
      </c>
      <c r="J74" s="256">
        <f ca="1">'Resultater - Vestdanmark'!J74+'Resultater - Østdanmark'!J74</f>
        <v>-265510.56637910393</v>
      </c>
    </row>
    <row r="75" spans="1:10" x14ac:dyDescent="0.55000000000000004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4">
        <f ca="1">'Resultater - Vestdanmark'!H75+'Resultater - Østdanmark'!H75</f>
        <v>0</v>
      </c>
      <c r="I75" s="255">
        <f ca="1">'Resultater - Vestdanmark'!I75+'Resultater - Østdanmark'!I75</f>
        <v>0</v>
      </c>
      <c r="J75" s="256">
        <f ca="1">'Resultater - Vestdanmark'!J75+'Resultater - Østdanmark'!J75</f>
        <v>3178.3267389651364</v>
      </c>
    </row>
    <row r="76" spans="1:10" x14ac:dyDescent="0.55000000000000004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4">
        <f ca="1">'Resultater - Vestdanmark'!H76+'Resultater - Østdanmark'!H76</f>
        <v>0</v>
      </c>
      <c r="I76" s="255">
        <f ca="1">'Resultater - Vestdanmark'!I76+'Resultater - Østdanmark'!I76</f>
        <v>0</v>
      </c>
      <c r="J76" s="256">
        <f ca="1">'Resultater - Vestdanmark'!J76+'Resultater - Østdanmark'!J76</f>
        <v>1733.6327667082564</v>
      </c>
    </row>
    <row r="77" spans="1:10" x14ac:dyDescent="0.55000000000000004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4">
        <f ca="1">'Resultater - Vestdanmark'!H77+'Resultater - Østdanmark'!H77</f>
        <v>0</v>
      </c>
      <c r="I77" s="255">
        <f ca="1">'Resultater - Vestdanmark'!I77+'Resultater - Østdanmark'!I77</f>
        <v>0</v>
      </c>
      <c r="J77" s="256">
        <f ca="1">'Resultater - Vestdanmark'!J77+'Resultater - Østdanmark'!J77</f>
        <v>-80087.602111989661</v>
      </c>
    </row>
    <row r="78" spans="1:10" x14ac:dyDescent="0.55000000000000004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4">
        <f ca="1">'Resultater - Vestdanmark'!H78+'Resultater - Østdanmark'!H78</f>
        <v>0</v>
      </c>
      <c r="I78" s="255">
        <f ca="1">'Resultater - Vestdanmark'!I78+'Resultater - Østdanmark'!I78</f>
        <v>0</v>
      </c>
      <c r="J78" s="256">
        <f ca="1">'Resultater - Vestdanmark'!J78+'Resultater - Østdanmark'!J78</f>
        <v>-21924.434062332009</v>
      </c>
    </row>
    <row r="79" spans="1:10" x14ac:dyDescent="0.55000000000000004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4">
        <f ca="1">'Resultater - Vestdanmark'!H79+'Resultater - Østdanmark'!H79</f>
        <v>0</v>
      </c>
      <c r="I79" s="255">
        <f ca="1">'Resultater - Vestdanmark'!I79+'Resultater - Østdanmark'!I79</f>
        <v>0</v>
      </c>
      <c r="J79" s="256">
        <f ca="1">'Resultater - Vestdanmark'!J79+'Resultater - Østdanmark'!J79</f>
        <v>0</v>
      </c>
    </row>
    <row r="80" spans="1:10" x14ac:dyDescent="0.55000000000000004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4">
        <f ca="1">'Resultater - Vestdanmark'!H80+'Resultater - Østdanmark'!H80</f>
        <v>0</v>
      </c>
      <c r="I80" s="255">
        <f ca="1">'Resultater - Vestdanmark'!I80+'Resultater - Østdanmark'!I80</f>
        <v>0</v>
      </c>
      <c r="J80" s="256">
        <f ca="1">'Resultater - Vestdanmark'!J80+'Resultater - Østdanmark'!J80</f>
        <v>0</v>
      </c>
    </row>
    <row r="81" spans="1:10" x14ac:dyDescent="0.55000000000000004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4">
        <f ca="1">'Resultater - Vestdanmark'!H81+'Resultater - Østdanmark'!H81</f>
        <v>0</v>
      </c>
      <c r="I81" s="255">
        <f ca="1">'Resultater - Vestdanmark'!I81+'Resultater - Østdanmark'!I81</f>
        <v>0</v>
      </c>
      <c r="J81" s="256">
        <f ca="1">'Resultater - Vestdanmark'!J81+'Resultater - Østdanmark'!J81</f>
        <v>0</v>
      </c>
    </row>
    <row r="82" spans="1:10" x14ac:dyDescent="0.55000000000000004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4">
        <f ca="1">'Resultater - Vestdanmark'!H82+'Resultater - Østdanmark'!H82</f>
        <v>0</v>
      </c>
      <c r="I82" s="255">
        <f ca="1">'Resultater - Vestdanmark'!I82+'Resultater - Østdanmark'!I82</f>
        <v>0</v>
      </c>
      <c r="J82" s="256">
        <f ca="1">'Resultater - Vestdanmark'!J82+'Resultater - Østdanmark'!J82</f>
        <v>0</v>
      </c>
    </row>
    <row r="83" spans="1:10" x14ac:dyDescent="0.55000000000000004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4">
        <f ca="1">'Resultater - Vestdanmark'!H83+'Resultater - Østdanmark'!H83</f>
        <v>0</v>
      </c>
      <c r="I83" s="255">
        <f ca="1">'Resultater - Vestdanmark'!I83+'Resultater - Østdanmark'!I83</f>
        <v>0</v>
      </c>
      <c r="J83" s="256">
        <f ca="1">'Resultater - Vestdanmark'!J83+'Resultater - Østdanmark'!J83</f>
        <v>0</v>
      </c>
    </row>
    <row r="84" spans="1:10" x14ac:dyDescent="0.55000000000000004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4">
        <f ca="1">'Resultater - Vestdanmark'!H84+'Resultater - Østdanmark'!H84</f>
        <v>0</v>
      </c>
      <c r="I84" s="255">
        <f ca="1">'Resultater - Vestdanmark'!I84+'Resultater - Østdanmark'!I84</f>
        <v>0</v>
      </c>
      <c r="J84" s="256">
        <f ca="1">'Resultater - Vestdanmark'!J84+'Resultater - Østdanmark'!J84</f>
        <v>0</v>
      </c>
    </row>
    <row r="85" spans="1:10" x14ac:dyDescent="0.55000000000000004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4">
        <f ca="1">'Resultater - Vestdanmark'!H85+'Resultater - Østdanmark'!H85</f>
        <v>0</v>
      </c>
      <c r="I85" s="255">
        <f ca="1">'Resultater - Vestdanmark'!I85+'Resultater - Østdanmark'!I85</f>
        <v>0</v>
      </c>
      <c r="J85" s="256">
        <f ca="1">'Resultater - Vestdanmark'!J85+'Resultater - Østdanmark'!J85</f>
        <v>0</v>
      </c>
    </row>
    <row r="86" spans="1:10" x14ac:dyDescent="0.55000000000000004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4">
        <f ca="1">'Resultater - Vestdanmark'!H86+'Resultater - Østdanmark'!H86</f>
        <v>0</v>
      </c>
      <c r="I86" s="255">
        <f ca="1">'Resultater - Vestdanmark'!I86+'Resultater - Østdanmark'!I86</f>
        <v>0</v>
      </c>
      <c r="J86" s="256">
        <f ca="1">'Resultater - Vestdanmark'!J86+'Resultater - Østdanmark'!J86</f>
        <v>0</v>
      </c>
    </row>
    <row r="87" spans="1:10" x14ac:dyDescent="0.55000000000000004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4">
        <f ca="1">'Resultater - Vestdanmark'!H87+'Resultater - Østdanmark'!H87</f>
        <v>0</v>
      </c>
      <c r="I87" s="255">
        <f ca="1">'Resultater - Vestdanmark'!I87+'Resultater - Østdanmark'!I87</f>
        <v>0</v>
      </c>
      <c r="J87" s="256">
        <f ca="1">'Resultater - Vestdanmark'!J87+'Resultater - Østdanmark'!J87</f>
        <v>0</v>
      </c>
    </row>
    <row r="88" spans="1:10" x14ac:dyDescent="0.55000000000000004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4">
        <f ca="1">'Resultater - Vestdanmark'!H88+'Resultater - Østdanmark'!H88</f>
        <v>0</v>
      </c>
      <c r="I88" s="255">
        <f ca="1">'Resultater - Vestdanmark'!I88+'Resultater - Østdanmark'!I88</f>
        <v>0</v>
      </c>
      <c r="J88" s="256">
        <f ca="1">'Resultater - Vestdanmark'!J88+'Resultater - Østdanmark'!J88</f>
        <v>0</v>
      </c>
    </row>
    <row r="89" spans="1:10" x14ac:dyDescent="0.55000000000000004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4">
        <f ca="1">'Resultater - Vestdanmark'!H89+'Resultater - Østdanmark'!H89</f>
        <v>0</v>
      </c>
      <c r="I89" s="255">
        <f ca="1">'Resultater - Vestdanmark'!I89+'Resultater - Østdanmark'!I89</f>
        <v>0</v>
      </c>
      <c r="J89" s="256">
        <f ca="1">'Resultater - Vestdanmark'!J89+'Resultater - Østdanmark'!J89</f>
        <v>0</v>
      </c>
    </row>
    <row r="90" spans="1:10" x14ac:dyDescent="0.55000000000000004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4">
        <f ca="1">'Resultater - Vestdanmark'!H90+'Resultater - Østdanmark'!H90</f>
        <v>0</v>
      </c>
      <c r="I90" s="255">
        <f ca="1">'Resultater - Vestdanmark'!I90+'Resultater - Østdanmark'!I90</f>
        <v>0</v>
      </c>
      <c r="J90" s="256">
        <f ca="1">'Resultater - Vestdanmark'!J90+'Resultater - Østdanmark'!J90</f>
        <v>0</v>
      </c>
    </row>
    <row r="91" spans="1:10" x14ac:dyDescent="0.55000000000000004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4">
        <f ca="1">'Resultater - Vestdanmark'!H91+'Resultater - Østdanmark'!H91</f>
        <v>0</v>
      </c>
      <c r="I91" s="255">
        <f ca="1">'Resultater - Vestdanmark'!I91+'Resultater - Østdanmark'!I91</f>
        <v>0</v>
      </c>
      <c r="J91" s="256">
        <f ca="1">'Resultater - Vestdanmark'!J91+'Resultater - Østdanmark'!J91</f>
        <v>0</v>
      </c>
    </row>
    <row r="92" spans="1:10" x14ac:dyDescent="0.55000000000000004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4">
        <f ca="1">'Resultater - Vestdanmark'!H92+'Resultater - Østdanmark'!H92</f>
        <v>0</v>
      </c>
      <c r="I92" s="255">
        <f ca="1">'Resultater - Vestdanmark'!I92+'Resultater - Østdanmark'!I92</f>
        <v>0</v>
      </c>
      <c r="J92" s="256">
        <f ca="1">'Resultater - Vestdanmark'!J92+'Resultater - Østdanmark'!J92</f>
        <v>0</v>
      </c>
    </row>
    <row r="93" spans="1:10" x14ac:dyDescent="0.55000000000000004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4">
        <f ca="1">'Resultater - Vestdanmark'!H93+'Resultater - Østdanmark'!H93</f>
        <v>0</v>
      </c>
      <c r="I93" s="255">
        <f ca="1">'Resultater - Vestdanmark'!I93+'Resultater - Østdanmark'!I93</f>
        <v>0</v>
      </c>
      <c r="J93" s="256">
        <f ca="1">'Resultater - Vestdanmark'!J93+'Resultater - Østdanmark'!J93</f>
        <v>0</v>
      </c>
    </row>
    <row r="94" spans="1:10" x14ac:dyDescent="0.55000000000000004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4">
        <f ca="1">'Resultater - Vestdanmark'!H94+'Resultater - Østdanmark'!H94</f>
        <v>0</v>
      </c>
      <c r="I94" s="255">
        <f ca="1">'Resultater - Vestdanmark'!I94+'Resultater - Østdanmark'!I94</f>
        <v>0</v>
      </c>
      <c r="J94" s="256">
        <f ca="1">'Resultater - Vestdanmark'!J94+'Resultater - Østdanmark'!J94</f>
        <v>0</v>
      </c>
    </row>
    <row r="95" spans="1:10" x14ac:dyDescent="0.55000000000000004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4">
        <f>'Resultater - Vestdanmark'!H95+'Resultater - Østdanmark'!H95</f>
        <v>16367972</v>
      </c>
      <c r="I95" s="255">
        <f>'Resultater - Vestdanmark'!I95+'Resultater - Østdanmark'!I95</f>
        <v>7064132.6848006118</v>
      </c>
      <c r="J95" s="256">
        <f>'Resultater - Vestdanmark'!J95+'Resultater - Østdanmark'!J95</f>
        <v>0</v>
      </c>
    </row>
    <row r="96" spans="1:10" x14ac:dyDescent="0.55000000000000004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4">
        <f>'Resultater - Vestdanmark'!H96+'Resultater - Østdanmark'!H96</f>
        <v>17657000</v>
      </c>
      <c r="I96" s="255">
        <f>'Resultater - Vestdanmark'!I96+'Resultater - Østdanmark'!I96</f>
        <v>7620454.8013354614</v>
      </c>
      <c r="J96" s="256">
        <f>'Resultater - Vestdanmark'!J96+'Resultater - Østdanmark'!J96</f>
        <v>0</v>
      </c>
    </row>
    <row r="97" spans="1:10" x14ac:dyDescent="0.55000000000000004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4">
        <f>'Resultater - Vestdanmark'!H97+'Resultater - Østdanmark'!H97</f>
        <v>2263500</v>
      </c>
      <c r="I97" s="255">
        <f>'Resultater - Vestdanmark'!I97+'Resultater - Østdanmark'!I97</f>
        <v>976887.32190195494</v>
      </c>
      <c r="J97" s="256">
        <f>'Resultater - Vestdanmark'!J97+'Resultater - Østdanmark'!J97</f>
        <v>0</v>
      </c>
    </row>
    <row r="98" spans="1:10" x14ac:dyDescent="0.55000000000000004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4">
        <f>'Resultater - Vestdanmark'!H98+'Resultater - Østdanmark'!H98</f>
        <v>185011.20708453766</v>
      </c>
      <c r="I98" s="255">
        <f>'Resultater - Vestdanmark'!I98+'Resultater - Østdanmark'!I98</f>
        <v>79847.626512331335</v>
      </c>
      <c r="J98" s="256">
        <f>'Resultater - Vestdanmark'!J98+'Resultater - Østdanmark'!J98</f>
        <v>0</v>
      </c>
    </row>
    <row r="99" spans="1:10" x14ac:dyDescent="0.55000000000000004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4">
        <f>'Resultater - Vestdanmark'!H99+'Resultater - Østdanmark'!H99</f>
        <v>-10101447931.960001</v>
      </c>
      <c r="I99" s="255">
        <f>'Resultater - Vestdanmark'!I99+'Resultater - Østdanmark'!I99</f>
        <v>-4359609638.8709717</v>
      </c>
      <c r="J99" s="256">
        <f>'Resultater - Vestdanmark'!J99+'Resultater - Østdanmark'!J99</f>
        <v>0</v>
      </c>
    </row>
    <row r="100" spans="1:10" x14ac:dyDescent="0.55000000000000004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4">
        <f>'Resultater - Vestdanmark'!H100+'Resultater - Østdanmark'!H100</f>
        <v>-775790.06759999995</v>
      </c>
      <c r="I100" s="255">
        <f>'Resultater - Vestdanmark'!I100+'Resultater - Østdanmark'!I100</f>
        <v>-334817.53103419504</v>
      </c>
      <c r="J100" s="256">
        <f>'Resultater - Vestdanmark'!J100+'Resultater - Østdanmark'!J100</f>
        <v>0</v>
      </c>
    </row>
    <row r="101" spans="1:10" x14ac:dyDescent="0.55000000000000004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4">
        <f>'Resultater - Vestdanmark'!H101+'Resultater - Østdanmark'!H101</f>
        <v>1322792.8112606632</v>
      </c>
      <c r="I101" s="255">
        <f>'Resultater - Vestdanmark'!I101+'Resultater - Østdanmark'!I101</f>
        <v>570894.42316040967</v>
      </c>
      <c r="J101" s="256">
        <f>'Resultater - Vestdanmark'!J101+'Resultater - Østdanmark'!J101</f>
        <v>0</v>
      </c>
    </row>
    <row r="102" spans="1:10" x14ac:dyDescent="0.55000000000000004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4">
        <f>'Resultater - Vestdanmark'!H102+'Resultater - Østdanmark'!H102</f>
        <v>232028</v>
      </c>
      <c r="I102" s="255">
        <f>'Resultater - Vestdanmark'!I102+'Resultater - Østdanmark'!I102</f>
        <v>1479958.8767381907</v>
      </c>
      <c r="J102" s="256">
        <f>'Resultater - Vestdanmark'!J102+'Resultater - Østdanmark'!J102</f>
        <v>389755.44795564236</v>
      </c>
    </row>
    <row r="103" spans="1:10" x14ac:dyDescent="0.55000000000000004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4">
        <f>'Resultater - Vestdanmark'!H103+'Resultater - Østdanmark'!H103</f>
        <v>0</v>
      </c>
      <c r="I103" s="255">
        <f>'Resultater - Vestdanmark'!I103+'Resultater - Østdanmark'!I103</f>
        <v>0</v>
      </c>
      <c r="J103" s="256">
        <f>'Resultater - Vestdanmark'!J103+'Resultater - Østdanmark'!J103</f>
        <v>0</v>
      </c>
    </row>
    <row r="104" spans="1:10" x14ac:dyDescent="0.55000000000000004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4">
        <f>'Resultater - Vestdanmark'!H104+'Resultater - Østdanmark'!H104</f>
        <v>251500.00000000003</v>
      </c>
      <c r="I104" s="255">
        <f>'Resultater - Vestdanmark'!I104+'Resultater - Østdanmark'!I104</f>
        <v>1604158.366661157</v>
      </c>
      <c r="J104" s="256">
        <f>'Resultater - Vestdanmark'!J104+'Resultater - Østdanmark'!J104</f>
        <v>422464.07830453239</v>
      </c>
    </row>
    <row r="105" spans="1:10" x14ac:dyDescent="0.55000000000000004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4">
        <f>'Resultater - Vestdanmark'!H105+'Resultater - Østdanmark'!H105</f>
        <v>7691.8969154623392</v>
      </c>
      <c r="I105" s="255">
        <f>'Resultater - Vestdanmark'!I105+'Resultater - Østdanmark'!I105</f>
        <v>49061.71289238194</v>
      </c>
      <c r="J105" s="256">
        <f>'Resultater - Vestdanmark'!J105+'Resultater - Østdanmark'!J105</f>
        <v>12920.676504191943</v>
      </c>
    </row>
    <row r="106" spans="1:10" x14ac:dyDescent="0.55000000000000004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4">
        <f>'Resultater - Vestdanmark'!H106+'Resultater - Østdanmark'!H106</f>
        <v>-419970754.27999997</v>
      </c>
      <c r="I106" s="255">
        <f>'Resultater - Vestdanmark'!I106+'Resultater - Østdanmark'!I106</f>
        <v>-2678726040.6809497</v>
      </c>
      <c r="J106" s="256">
        <f>'Resultater - Vestdanmark'!J106+'Resultater - Østdanmark'!J106</f>
        <v>-705457485.57359624</v>
      </c>
    </row>
    <row r="107" spans="1:10" x14ac:dyDescent="0.55000000000000004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4">
        <f>'Resultater - Vestdanmark'!H107+'Resultater - Østdanmark'!H107</f>
        <v>-28350.861000000001</v>
      </c>
      <c r="I107" s="255">
        <f>'Resultater - Vestdanmark'!I107+'Resultater - Østdanmark'!I107</f>
        <v>-180832.09095505963</v>
      </c>
      <c r="J107" s="256">
        <f>'Resultater - Vestdanmark'!J107+'Resultater - Østdanmark'!J107</f>
        <v>-47623.142590476804</v>
      </c>
    </row>
    <row r="108" spans="1:10" x14ac:dyDescent="0.55000000000000004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4">
        <f>'Resultater - Vestdanmark'!H108+'Resultater - Østdanmark'!H108</f>
        <v>60495.062518513841</v>
      </c>
      <c r="I108" s="255">
        <f>'Resultater - Vestdanmark'!I108+'Resultater - Østdanmark'!I108</f>
        <v>385859.48580820567</v>
      </c>
      <c r="J108" s="256">
        <f>'Resultater - Vestdanmark'!J108+'Resultater - Østdanmark'!J108</f>
        <v>101618.25379267999</v>
      </c>
    </row>
    <row r="109" spans="1:10" x14ac:dyDescent="0.55000000000000004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4">
        <f>'Resultater - Vestdanmark'!H109+'Resultater - Østdanmark'!H109</f>
        <v>440600</v>
      </c>
      <c r="I109" s="255">
        <f>'Resultater - Vestdanmark'!I109+'Resultater - Østdanmark'!I109</f>
        <v>193478.87617065557</v>
      </c>
      <c r="J109" s="256">
        <f>'Resultater - Vestdanmark'!J109+'Resultater - Østdanmark'!J109</f>
        <v>0</v>
      </c>
    </row>
    <row r="110" spans="1:10" x14ac:dyDescent="0.55000000000000004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4">
        <f>'Resultater - Vestdanmark'!H110+'Resultater - Østdanmark'!H110</f>
        <v>12785500</v>
      </c>
      <c r="I110" s="255">
        <f>'Resultater - Vestdanmark'!I110+'Resultater - Østdanmark'!I110</f>
        <v>5614444.328824142</v>
      </c>
      <c r="J110" s="256">
        <f>'Resultater - Vestdanmark'!J110+'Resultater - Østdanmark'!J110</f>
        <v>0</v>
      </c>
    </row>
    <row r="111" spans="1:10" x14ac:dyDescent="0.55000000000000004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4">
        <f>'Resultater - Vestdanmark'!H111+'Resultater - Østdanmark'!H111</f>
        <v>250560.00000000003</v>
      </c>
      <c r="I111" s="255">
        <f>'Resultater - Vestdanmark'!I111+'Resultater - Østdanmark'!I111</f>
        <v>110027.38813735692</v>
      </c>
      <c r="J111" s="256">
        <f>'Resultater - Vestdanmark'!J111+'Resultater - Østdanmark'!J111</f>
        <v>0</v>
      </c>
    </row>
    <row r="112" spans="1:10" x14ac:dyDescent="0.55000000000000004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4">
        <f>'Resultater - Vestdanmark'!H112+'Resultater - Østdanmark'!H112</f>
        <v>4786000</v>
      </c>
      <c r="I112" s="255">
        <f>'Resultater - Vestdanmark'!I112+'Resultater - Østdanmark'!I112</f>
        <v>2101656.6077003125</v>
      </c>
      <c r="J112" s="256">
        <f>'Resultater - Vestdanmark'!J112+'Resultater - Østdanmark'!J112</f>
        <v>0</v>
      </c>
    </row>
    <row r="113" spans="1:10" x14ac:dyDescent="0.55000000000000004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4">
        <f>'Resultater - Vestdanmark'!H113+'Resultater - Østdanmark'!H113</f>
        <v>54522.149641311174</v>
      </c>
      <c r="I113" s="255">
        <f>'Resultater - Vestdanmark'!I113+'Resultater - Østdanmark'!I113</f>
        <v>23942.088604197001</v>
      </c>
      <c r="J113" s="256">
        <f>'Resultater - Vestdanmark'!J113+'Resultater - Østdanmark'!J113</f>
        <v>0</v>
      </c>
    </row>
    <row r="114" spans="1:10" x14ac:dyDescent="0.55000000000000004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4">
        <f>'Resultater - Vestdanmark'!H114+'Resultater - Østdanmark'!H114</f>
        <v>-3317225912</v>
      </c>
      <c r="I114" s="255">
        <f>'Resultater - Vestdanmark'!I114+'Resultater - Østdanmark'!I114</f>
        <v>-1456679848.9739854</v>
      </c>
      <c r="J114" s="256">
        <f>'Resultater - Vestdanmark'!J114+'Resultater - Østdanmark'!J114</f>
        <v>0</v>
      </c>
    </row>
    <row r="115" spans="1:10" x14ac:dyDescent="0.55000000000000004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4">
        <f>'Resultater - Vestdanmark'!H115+'Resultater - Østdanmark'!H115</f>
        <v>-13874.569799999999</v>
      </c>
      <c r="I115" s="255">
        <f>'Resultater - Vestdanmark'!I115+'Resultater - Østdanmark'!I115</f>
        <v>-6092.6830963579605</v>
      </c>
      <c r="J115" s="256">
        <f>'Resultater - Vestdanmark'!J115+'Resultater - Østdanmark'!J115</f>
        <v>0</v>
      </c>
    </row>
    <row r="116" spans="1:10" x14ac:dyDescent="0.55000000000000004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4">
        <f>'Resultater - Vestdanmark'!H116+'Resultater - Østdanmark'!H116</f>
        <v>3588024.4873487833</v>
      </c>
      <c r="I116" s="255">
        <f>'Resultater - Vestdanmark'!I116+'Resultater - Østdanmark'!I116</f>
        <v>1575594.5199387996</v>
      </c>
      <c r="J116" s="256">
        <f>'Resultater - Vestdanmark'!J116+'Resultater - Østdanmark'!J116</f>
        <v>0</v>
      </c>
    </row>
    <row r="117" spans="1:10" x14ac:dyDescent="0.55000000000000004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4">
        <f>'Resultater - Vestdanmark'!H117+'Resultater - Østdanmark'!H117</f>
        <v>23400.000000000004</v>
      </c>
      <c r="I117" s="255">
        <f>'Resultater - Vestdanmark'!I117+'Resultater - Østdanmark'!I117</f>
        <v>47846.209819674572</v>
      </c>
      <c r="J117" s="256">
        <f>'Resultater - Vestdanmark'!J117+'Resultater - Østdanmark'!J117</f>
        <v>15555.970545759268</v>
      </c>
    </row>
    <row r="118" spans="1:10" x14ac:dyDescent="0.55000000000000004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4">
        <f>'Resultater - Vestdanmark'!H118+'Resultater - Østdanmark'!H118</f>
        <v>1264500</v>
      </c>
      <c r="I118" s="255">
        <f>'Resultater - Vestdanmark'!I118+'Resultater - Østdanmark'!I118</f>
        <v>2585535.5691016451</v>
      </c>
      <c r="J118" s="256">
        <f>'Resultater - Vestdanmark'!J118+'Resultater - Østdanmark'!J118</f>
        <v>840620.71603045263</v>
      </c>
    </row>
    <row r="119" spans="1:10" x14ac:dyDescent="0.55000000000000004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4">
        <f>'Resultater - Vestdanmark'!H119+'Resultater - Østdanmark'!H119</f>
        <v>10440.000000000002</v>
      </c>
      <c r="I119" s="255">
        <f>'Resultater - Vestdanmark'!I119+'Resultater - Østdanmark'!I119</f>
        <v>21346.770534931733</v>
      </c>
      <c r="J119" s="256">
        <f>'Resultater - Vestdanmark'!J119+'Resultater - Østdanmark'!J119</f>
        <v>6940.3560896464423</v>
      </c>
    </row>
    <row r="120" spans="1:10" x14ac:dyDescent="0.55000000000000004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4">
        <f>'Resultater - Vestdanmark'!H120+'Resultater - Østdanmark'!H120</f>
        <v>482999.99999999994</v>
      </c>
      <c r="I120" s="255">
        <f>'Resultater - Vestdanmark'!I120+'Resultater - Østdanmark'!I120</f>
        <v>987594.84371379553</v>
      </c>
      <c r="J120" s="256">
        <f>'Resultater - Vestdanmark'!J120+'Resultater - Østdanmark'!J120</f>
        <v>321091.18690605665</v>
      </c>
    </row>
    <row r="121" spans="1:10" x14ac:dyDescent="0.55000000000000004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4">
        <f>'Resultater - Vestdanmark'!H121+'Resultater - Østdanmark'!H121</f>
        <v>9653.6103586888312</v>
      </c>
      <c r="I121" s="255">
        <f>'Resultater - Vestdanmark'!I121+'Resultater - Østdanmark'!I121</f>
        <v>19738.83191193204</v>
      </c>
      <c r="J121" s="256">
        <f>'Resultater - Vestdanmark'!J121+'Resultater - Østdanmark'!J121</f>
        <v>6417.576</v>
      </c>
    </row>
    <row r="122" spans="1:10" x14ac:dyDescent="0.55000000000000004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4">
        <f>'Resultater - Vestdanmark'!H122+'Resultater - Østdanmark'!H122</f>
        <v>-587343064</v>
      </c>
      <c r="I122" s="255">
        <f>'Resultater - Vestdanmark'!I122+'Resultater - Østdanmark'!I122</f>
        <v>-1200946131.4647243</v>
      </c>
      <c r="J122" s="256">
        <f>'Resultater - Vestdanmark'!J122+'Resultater - Østdanmark'!J122</f>
        <v>-390456897.59999996</v>
      </c>
    </row>
    <row r="123" spans="1:10" x14ac:dyDescent="0.55000000000000004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4">
        <f>'Resultater - Vestdanmark'!H123+'Resultater - Østdanmark'!H123</f>
        <v>-2961.3935999999999</v>
      </c>
      <c r="I123" s="255">
        <f>'Resultater - Vestdanmark'!I123+'Resultater - Østdanmark'!I123</f>
        <v>-6055.1905788137356</v>
      </c>
      <c r="J123" s="256">
        <f>'Resultater - Vestdanmark'!J123+'Resultater - Østdanmark'!J123</f>
        <v>-1968.6902399999999</v>
      </c>
    </row>
    <row r="124" spans="1:10" x14ac:dyDescent="0.55000000000000004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4">
        <f>'Resultater - Vestdanmark'!H124+'Resultater - Østdanmark'!H124</f>
        <v>531260.59557996574</v>
      </c>
      <c r="I124" s="255">
        <f>'Resultater - Vestdanmark'!I124+'Resultater - Østdanmark'!I124</f>
        <v>1086273.7574805266</v>
      </c>
      <c r="J124" s="256">
        <f>'Resultater - Vestdanmark'!J124+'Resultater - Østdanmark'!J124</f>
        <v>353174.11012668692</v>
      </c>
    </row>
    <row r="125" spans="1:10" x14ac:dyDescent="0.55000000000000004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4">
        <f>'Resultater - Vestdanmark'!H125+'Resultater - Østdanmark'!H125</f>
        <v>105566999.99999999</v>
      </c>
      <c r="I125" s="255">
        <f>'Resultater - Vestdanmark'!I125+'Resultater - Østdanmark'!I125</f>
        <v>53607383.975026004</v>
      </c>
      <c r="J125" s="256">
        <f>'Resultater - Vestdanmark'!J125+'Resultater - Østdanmark'!J125</f>
        <v>0</v>
      </c>
    </row>
    <row r="126" spans="1:10" x14ac:dyDescent="0.55000000000000004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4">
        <f>'Resultater - Vestdanmark'!H126+'Resultater - Østdanmark'!H126</f>
        <v>6719.2238038686164</v>
      </c>
      <c r="I126" s="255">
        <f>'Resultater - Vestdanmark'!I126+'Resultater - Østdanmark'!I126</f>
        <v>3412.0512136190264</v>
      </c>
      <c r="J126" s="256">
        <f>'Resultater - Vestdanmark'!J126+'Resultater - Østdanmark'!J126</f>
        <v>0</v>
      </c>
    </row>
    <row r="127" spans="1:10" x14ac:dyDescent="0.55000000000000004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4">
        <f>'Resultater - Vestdanmark'!H127+'Resultater - Østdanmark'!H127</f>
        <v>148922.51453359297</v>
      </c>
      <c r="I127" s="255">
        <f>'Resultater - Vestdanmark'!I127+'Resultater - Østdanmark'!I127</f>
        <v>75623.50373818248</v>
      </c>
      <c r="J127" s="256">
        <f>'Resultater - Vestdanmark'!J127+'Resultater - Østdanmark'!J127</f>
        <v>0</v>
      </c>
    </row>
    <row r="128" spans="1:10" x14ac:dyDescent="0.55000000000000004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4">
        <f>'Resultater - Vestdanmark'!H128+'Resultater - Østdanmark'!H128</f>
        <v>220000</v>
      </c>
      <c r="I128" s="255">
        <f>'Resultater - Vestdanmark'!I128+'Resultater - Østdanmark'!I128</f>
        <v>111716.96149843912</v>
      </c>
      <c r="J128" s="256">
        <f>'Resultater - Vestdanmark'!J128+'Resultater - Østdanmark'!J128</f>
        <v>0</v>
      </c>
    </row>
    <row r="129" spans="1:10" x14ac:dyDescent="0.55000000000000004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4">
        <f>'Resultater - Vestdanmark'!H129+'Resultater - Østdanmark'!H129</f>
        <v>9291.4831667730468</v>
      </c>
      <c r="I129" s="255">
        <f>'Resultater - Vestdanmark'!I129+'Resultater - Østdanmark'!I129</f>
        <v>4718.2557600262708</v>
      </c>
      <c r="J129" s="256">
        <f>'Resultater - Vestdanmark'!J129+'Resultater - Østdanmark'!J129</f>
        <v>0</v>
      </c>
    </row>
    <row r="130" spans="1:10" x14ac:dyDescent="0.55000000000000004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4">
        <f>'Resultater - Vestdanmark'!H130+'Resultater - Østdanmark'!H130</f>
        <v>-365582337.12</v>
      </c>
      <c r="I130" s="255">
        <f>'Resultater - Vestdanmark'!I130+'Resultater - Østdanmark'!I130</f>
        <v>-185644308.54792923</v>
      </c>
      <c r="J130" s="256">
        <f>'Resultater - Vestdanmark'!J130+'Resultater - Østdanmark'!J130</f>
        <v>0</v>
      </c>
    </row>
    <row r="131" spans="1:10" x14ac:dyDescent="0.55000000000000004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4">
        <f>'Resultater - Vestdanmark'!H131+'Resultater - Østdanmark'!H131</f>
        <v>-8664.776171999998</v>
      </c>
      <c r="I131" s="255">
        <f>'Resultater - Vestdanmark'!I131+'Resultater - Østdanmark'!I131</f>
        <v>-4400.0112090905295</v>
      </c>
      <c r="J131" s="256">
        <f>'Resultater - Vestdanmark'!J131+'Resultater - Østdanmark'!J131</f>
        <v>0</v>
      </c>
    </row>
    <row r="132" spans="1:10" x14ac:dyDescent="0.55000000000000004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4">
        <f>'Resultater - Vestdanmark'!H132+'Resultater - Østdanmark'!H132</f>
        <v>14116.474844810102</v>
      </c>
      <c r="I132" s="255">
        <f>'Resultater - Vestdanmark'!I132+'Resultater - Østdanmark'!I132</f>
        <v>7168.407621506065</v>
      </c>
      <c r="J132" s="256">
        <f>'Resultater - Vestdanmark'!J132+'Resultater - Østdanmark'!J132</f>
        <v>0</v>
      </c>
    </row>
    <row r="133" spans="1:10" x14ac:dyDescent="0.55000000000000004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4">
        <f>'Resultater - Vestdanmark'!H133+'Resultater - Østdanmark'!H133</f>
        <v>1224707</v>
      </c>
      <c r="I133" s="255">
        <f>'Resultater - Vestdanmark'!I133+'Resultater - Østdanmark'!I133</f>
        <v>3028677.8044475098</v>
      </c>
      <c r="J133" s="256">
        <f>'Resultater - Vestdanmark'!J133+'Resultater - Østdanmark'!J133</f>
        <v>3446948.3667273573</v>
      </c>
    </row>
    <row r="134" spans="1:10" x14ac:dyDescent="0.55000000000000004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4">
        <f>'Resultater - Vestdanmark'!H134+'Resultater - Østdanmark'!H134</f>
        <v>2163.7761961313831</v>
      </c>
      <c r="I134" s="255">
        <f>'Resultater - Vestdanmark'!I134+'Resultater - Østdanmark'!I134</f>
        <v>5350.9785924429116</v>
      </c>
      <c r="J134" s="256">
        <f>'Resultater - Vestdanmark'!J134+'Resultater - Østdanmark'!J134</f>
        <v>6089.9666820052507</v>
      </c>
    </row>
    <row r="135" spans="1:10" x14ac:dyDescent="0.55000000000000004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4">
        <f>'Resultater - Vestdanmark'!H135+'Resultater - Østdanmark'!H135</f>
        <v>8147.4854664070526</v>
      </c>
      <c r="I135" s="255">
        <f>'Resultater - Vestdanmark'!I135+'Resultater - Østdanmark'!I135</f>
        <v>20148.581166079479</v>
      </c>
      <c r="J135" s="256">
        <f>'Resultater - Vestdanmark'!J135+'Resultater - Østdanmark'!J135</f>
        <v>22931.167798801402</v>
      </c>
    </row>
    <row r="136" spans="1:10" x14ac:dyDescent="0.55000000000000004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4">
        <f>'Resultater - Vestdanmark'!H136+'Resultater - Østdanmark'!H136</f>
        <v>15000</v>
      </c>
      <c r="I136" s="255">
        <f>'Resultater - Vestdanmark'!I136+'Resultater - Østdanmark'!I136</f>
        <v>37094.723118846094</v>
      </c>
      <c r="J136" s="256">
        <f>'Resultater - Vestdanmark'!J136+'Resultater - Østdanmark'!J136</f>
        <v>42217.628788690155</v>
      </c>
    </row>
    <row r="137" spans="1:10" x14ac:dyDescent="0.55000000000000004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4">
        <f>'Resultater - Vestdanmark'!H137+'Resultater - Østdanmark'!H137</f>
        <v>1539.2752332269538</v>
      </c>
      <c r="I137" s="255">
        <f>'Resultater - Vestdanmark'!I137+'Resultater - Østdanmark'!I137</f>
        <v>3806.5992386834064</v>
      </c>
      <c r="J137" s="256">
        <f>'Resultater - Vestdanmark'!J137+'Resultater - Østdanmark'!J137</f>
        <v>4332.3033599999999</v>
      </c>
    </row>
    <row r="138" spans="1:10" x14ac:dyDescent="0.55000000000000004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4">
        <f>'Resultater - Vestdanmark'!H138+'Resultater - Østdanmark'!H138</f>
        <v>-60564263.759999998</v>
      </c>
      <c r="I138" s="255">
        <f>'Resultater - Vestdanmark'!I138+'Resultater - Østdanmark'!I138</f>
        <v>-149774306.33826429</v>
      </c>
      <c r="J138" s="256">
        <f>'Resultater - Vestdanmark'!J138+'Resultater - Østdanmark'!J138</f>
        <v>-170458640.352</v>
      </c>
    </row>
    <row r="139" spans="1:10" x14ac:dyDescent="0.55000000000000004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4">
        <f>'Resultater - Vestdanmark'!H139+'Resultater - Østdanmark'!H139</f>
        <v>-2703.7617749999999</v>
      </c>
      <c r="I139" s="255">
        <f>'Resultater - Vestdanmark'!I139+'Resultater - Østdanmark'!I139</f>
        <v>-6686.3529615296566</v>
      </c>
      <c r="J139" s="256">
        <f>'Resultater - Vestdanmark'!J139+'Resultater - Østdanmark'!J139</f>
        <v>-7609.76073</v>
      </c>
    </row>
    <row r="140" spans="1:10" x14ac:dyDescent="0.55000000000000004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4">
        <f>'Resultater - Vestdanmark'!H140+'Resultater - Østdanmark'!H140</f>
        <v>2572.4691839803959</v>
      </c>
      <c r="I140" s="255">
        <f>'Resultater - Vestdanmark'!I140+'Resultater - Østdanmark'!I140</f>
        <v>6361.6688074344493</v>
      </c>
      <c r="J140" s="256">
        <f>'Resultater - Vestdanmark'!J140+'Resultater - Østdanmark'!J140</f>
        <v>7240.2366053086025</v>
      </c>
    </row>
    <row r="141" spans="1:10" x14ac:dyDescent="0.55000000000000004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4">
        <f>'Resultater - Vestdanmark'!H141+'Resultater - Østdanmark'!H141</f>
        <v>8028892.7421747725</v>
      </c>
      <c r="I141" s="255">
        <f>'Resultater - Vestdanmark'!I141+'Resultater - Østdanmark'!I141</f>
        <v>5654165.1544434363</v>
      </c>
      <c r="J141" s="256">
        <f>'Resultater - Vestdanmark'!J141+'Resultater - Østdanmark'!J141</f>
        <v>0</v>
      </c>
    </row>
    <row r="142" spans="1:10" x14ac:dyDescent="0.55000000000000004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4">
        <f>'Resultater - Vestdanmark'!H142+'Resultater - Østdanmark'!H142</f>
        <v>2620610.5188139905</v>
      </c>
      <c r="I142" s="255">
        <f>'Resultater - Vestdanmark'!I142+'Resultater - Østdanmark'!I142</f>
        <v>1939724.2669091506</v>
      </c>
      <c r="J142" s="256">
        <f>'Resultater - Vestdanmark'!J142+'Resultater - Østdanmark'!J142</f>
        <v>0</v>
      </c>
    </row>
    <row r="143" spans="1:10" x14ac:dyDescent="0.55000000000000004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4">
        <f>'Resultater - Vestdanmark'!H143+'Resultater - Østdanmark'!H143</f>
        <v>-183255754.45762676</v>
      </c>
      <c r="I143" s="255">
        <f>'Resultater - Vestdanmark'!I143+'Resultater - Østdanmark'!I143</f>
        <v>-129053698.2469258</v>
      </c>
      <c r="J143" s="256">
        <f>'Resultater - Vestdanmark'!J143+'Resultater - Østdanmark'!J143</f>
        <v>0</v>
      </c>
    </row>
    <row r="144" spans="1:10" x14ac:dyDescent="0.55000000000000004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4">
        <f>'Resultater - Vestdanmark'!H144+'Resultater - Østdanmark'!H144</f>
        <v>2604172.3544975286</v>
      </c>
      <c r="I144" s="255">
        <f>'Resultater - Vestdanmark'!I144+'Resultater - Østdanmark'!I144</f>
        <v>1833929.1675450215</v>
      </c>
      <c r="J144" s="256">
        <f>'Resultater - Vestdanmark'!J144+'Resultater - Østdanmark'!J144</f>
        <v>0</v>
      </c>
    </row>
    <row r="145" spans="1:10" x14ac:dyDescent="0.55000000000000004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4">
        <f>'Resultater - Vestdanmark'!H145+'Resultater - Østdanmark'!H145</f>
        <v>228280.18071014562</v>
      </c>
      <c r="I145" s="255">
        <f>'Resultater - Vestdanmark'!I145+'Resultater - Østdanmark'!I145</f>
        <v>169995.91485721772</v>
      </c>
      <c r="J145" s="256">
        <f>'Resultater - Vestdanmark'!J145+'Resultater - Østdanmark'!J145</f>
        <v>18465.221820790757</v>
      </c>
    </row>
    <row r="146" spans="1:10" x14ac:dyDescent="0.55000000000000004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4">
        <f>'Resultater - Vestdanmark'!H146+'Resultater - Østdanmark'!H146</f>
        <v>74510.080283339761</v>
      </c>
      <c r="I146" s="255">
        <f>'Resultater - Vestdanmark'!I146+'Resultater - Østdanmark'!I146</f>
        <v>58318.990039551696</v>
      </c>
      <c r="J146" s="256">
        <f>'Resultater - Vestdanmark'!J146+'Resultater - Østdanmark'!J146</f>
        <v>6890.759152973591</v>
      </c>
    </row>
    <row r="147" spans="1:10" x14ac:dyDescent="0.55000000000000004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4">
        <f>'Resultater - Vestdanmark'!H147+'Resultater - Østdanmark'!H147</f>
        <v>-3527867.7475414807</v>
      </c>
      <c r="I147" s="255">
        <f>'Resultater - Vestdanmark'!I147+'Resultater - Østdanmark'!I147</f>
        <v>-2627136.1069232412</v>
      </c>
      <c r="J147" s="256">
        <f>'Resultater - Vestdanmark'!J147+'Resultater - Østdanmark'!J147</f>
        <v>-285363.62775829755</v>
      </c>
    </row>
    <row r="148" spans="1:10" x14ac:dyDescent="0.55000000000000004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4">
        <f>'Resultater - Vestdanmark'!H148+'Resultater - Østdanmark'!H148</f>
        <v>433973.71375071316</v>
      </c>
      <c r="I148" s="255">
        <f>'Resultater - Vestdanmark'!I148+'Resultater - Østdanmark'!I148</f>
        <v>323171.9821823237</v>
      </c>
      <c r="J148" s="256">
        <f>'Resultater - Vestdanmark'!J148+'Resultater - Østdanmark'!J148</f>
        <v>35103.445528519878</v>
      </c>
    </row>
    <row r="149" spans="1:10" x14ac:dyDescent="0.55000000000000004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4">
        <f>'Resultater - Vestdanmark'!H149+'Resultater - Østdanmark'!H149</f>
        <v>135901.60941201358</v>
      </c>
      <c r="I149" s="255">
        <f>'Resultater - Vestdanmark'!I149+'Resultater - Østdanmark'!I149</f>
        <v>98757.415971261042</v>
      </c>
      <c r="J149" s="256">
        <f>'Resultater - Vestdanmark'!J149+'Resultater - Østdanmark'!J149</f>
        <v>0</v>
      </c>
    </row>
    <row r="150" spans="1:10" x14ac:dyDescent="0.55000000000000004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4">
        <f>'Resultater - Vestdanmark'!H150+'Resultater - Østdanmark'!H150</f>
        <v>44357.945558057712</v>
      </c>
      <c r="I150" s="255">
        <f>'Resultater - Vestdanmark'!I150+'Resultater - Østdanmark'!I150</f>
        <v>33879.830366496019</v>
      </c>
      <c r="J150" s="256">
        <f>'Resultater - Vestdanmark'!J150+'Resultater - Østdanmark'!J150</f>
        <v>0</v>
      </c>
    </row>
    <row r="151" spans="1:10" x14ac:dyDescent="0.55000000000000004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4">
        <f>'Resultater - Vestdanmark'!H151+'Resultater - Østdanmark'!H151</f>
        <v>-1384772.8694927006</v>
      </c>
      <c r="I151" s="255">
        <f>'Resultater - Vestdanmark'!I151+'Resultater - Østdanmark'!I151</f>
        <v>-1006291.1755783681</v>
      </c>
      <c r="J151" s="256">
        <f>'Resultater - Vestdanmark'!J151+'Resultater - Østdanmark'!J151</f>
        <v>0</v>
      </c>
    </row>
    <row r="152" spans="1:10" x14ac:dyDescent="0.55000000000000004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4">
        <f>'Resultater - Vestdanmark'!H152+'Resultater - Østdanmark'!H152</f>
        <v>567087.95319850883</v>
      </c>
      <c r="I152" s="255">
        <f>'Resultater - Vestdanmark'!I152+'Resultater - Østdanmark'!I152</f>
        <v>412093.28666982974</v>
      </c>
      <c r="J152" s="256">
        <f>'Resultater - Vestdanmark'!J152+'Resultater - Østdanmark'!J152</f>
        <v>0</v>
      </c>
    </row>
    <row r="153" spans="1:10" x14ac:dyDescent="0.55000000000000004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4">
        <f>'Resultater - Vestdanmark'!H153+'Resultater - Østdanmark'!H153</f>
        <v>687812.87730450777</v>
      </c>
      <c r="I153" s="255">
        <f>'Resultater - Vestdanmark'!I153+'Resultater - Østdanmark'!I153</f>
        <v>592433.03011489694</v>
      </c>
      <c r="J153" s="256">
        <f>'Resultater - Vestdanmark'!J153+'Resultater - Østdanmark'!J153</f>
        <v>0</v>
      </c>
    </row>
    <row r="154" spans="1:10" x14ac:dyDescent="0.55000000000000004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4">
        <f>'Resultater - Vestdanmark'!H154+'Resultater - Østdanmark'!H154</f>
        <v>224500.40361999813</v>
      </c>
      <c r="I154" s="255">
        <f>'Resultater - Vestdanmark'!I154+'Resultater - Østdanmark'!I154</f>
        <v>203240.74264602939</v>
      </c>
      <c r="J154" s="256">
        <f>'Resultater - Vestdanmark'!J154+'Resultater - Østdanmark'!J154</f>
        <v>0</v>
      </c>
    </row>
    <row r="155" spans="1:10" x14ac:dyDescent="0.55000000000000004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4">
        <f>'Resultater - Vestdanmark'!H155+'Resultater - Østdanmark'!H155</f>
        <v>-15699010.038333988</v>
      </c>
      <c r="I155" s="255">
        <f>'Resultater - Vestdanmark'!I155+'Resultater - Østdanmark'!I155</f>
        <v>-13522009.246559704</v>
      </c>
      <c r="J155" s="256">
        <f>'Resultater - Vestdanmark'!J155+'Resultater - Østdanmark'!J155</f>
        <v>0</v>
      </c>
    </row>
    <row r="156" spans="1:10" x14ac:dyDescent="0.55000000000000004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4">
        <f>'Resultater - Vestdanmark'!H156+'Resultater - Østdanmark'!H156</f>
        <v>332973.42070203071</v>
      </c>
      <c r="I156" s="255">
        <f>'Resultater - Vestdanmark'!I156+'Resultater - Østdanmark'!I156</f>
        <v>286799.59198683873</v>
      </c>
      <c r="J156" s="256">
        <f>'Resultater - Vestdanmark'!J156+'Resultater - Østdanmark'!J156</f>
        <v>0</v>
      </c>
    </row>
    <row r="157" spans="1:10" x14ac:dyDescent="0.55000000000000004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4">
        <f>'Resultater - Vestdanmark'!H157+'Resultater - Østdanmark'!H157</f>
        <v>19556.127223005868</v>
      </c>
      <c r="I157" s="255">
        <f>'Resultater - Vestdanmark'!I157+'Resultater - Østdanmark'!I157</f>
        <v>17811.859433725534</v>
      </c>
      <c r="J157" s="256">
        <f>'Resultater - Vestdanmark'!J157+'Resultater - Østdanmark'!J157</f>
        <v>2624.2997072578378</v>
      </c>
    </row>
    <row r="158" spans="1:10" x14ac:dyDescent="0.55000000000000004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4">
        <f>'Resultater - Vestdanmark'!H158+'Resultater - Østdanmark'!H158</f>
        <v>6383.0710352710576</v>
      </c>
      <c r="I158" s="255">
        <f>'Resultater - Vestdanmark'!I158+'Resultater - Østdanmark'!I158</f>
        <v>6110.5565611609763</v>
      </c>
      <c r="J158" s="256">
        <f>'Resultater - Vestdanmark'!J158+'Resultater - Østdanmark'!J158</f>
        <v>979.32304325594362</v>
      </c>
    </row>
    <row r="159" spans="1:10" x14ac:dyDescent="0.55000000000000004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4">
        <f>'Resultater - Vestdanmark'!H159+'Resultater - Østdanmark'!H159</f>
        <v>-302222.60330370459</v>
      </c>
      <c r="I159" s="255">
        <f>'Resultater - Vestdanmark'!I159+'Resultater - Østdanmark'!I159</f>
        <v>-275266.49148648599</v>
      </c>
      <c r="J159" s="256">
        <f>'Resultater - Vestdanmark'!J159+'Resultater - Østdanmark'!J159</f>
        <v>-40556.22467231562</v>
      </c>
    </row>
    <row r="160" spans="1:10" x14ac:dyDescent="0.55000000000000004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4">
        <f>'Resultater - Vestdanmark'!H160+'Resultater - Østdanmark'!H160</f>
        <v>55488.536199525202</v>
      </c>
      <c r="I160" s="255">
        <f>'Resultater - Vestdanmark'!I160+'Resultater - Østdanmark'!I160</f>
        <v>50539.352485211501</v>
      </c>
      <c r="J160" s="256">
        <f>'Resultater - Vestdanmark'!J160+'Resultater - Østdanmark'!J160</f>
        <v>7446.1854151405796</v>
      </c>
    </row>
    <row r="161" spans="1:10" x14ac:dyDescent="0.55000000000000004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4">
        <f>'Resultater - Vestdanmark'!H161+'Resultater - Østdanmark'!H161</f>
        <v>11642.312333926018</v>
      </c>
      <c r="I161" s="255">
        <f>'Resultater - Vestdanmark'!I161+'Resultater - Østdanmark'!I161</f>
        <v>10347.620487207119</v>
      </c>
      <c r="J161" s="256">
        <f>'Resultater - Vestdanmark'!J161+'Resultater - Østdanmark'!J161</f>
        <v>0</v>
      </c>
    </row>
    <row r="162" spans="1:10" x14ac:dyDescent="0.55000000000000004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4">
        <f>'Resultater - Vestdanmark'!H162+'Resultater - Østdanmark'!H162</f>
        <v>3800.0216400126183</v>
      </c>
      <c r="I162" s="255">
        <f>'Resultater - Vestdanmark'!I162+'Resultater - Østdanmark'!I162</f>
        <v>3549.8663402197117</v>
      </c>
      <c r="J162" s="256">
        <f>'Resultater - Vestdanmark'!J162+'Resultater - Østdanmark'!J162</f>
        <v>0</v>
      </c>
    </row>
    <row r="163" spans="1:10" x14ac:dyDescent="0.55000000000000004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4">
        <f>'Resultater - Vestdanmark'!H163+'Resultater - Østdanmark'!H163</f>
        <v>-118629.63454173651</v>
      </c>
      <c r="I163" s="255">
        <f>'Resultater - Vestdanmark'!I163+'Resultater - Østdanmark'!I163</f>
        <v>-105437.33938462524</v>
      </c>
      <c r="J163" s="256">
        <f>'Resultater - Vestdanmark'!J163+'Resultater - Østdanmark'!J163</f>
        <v>0</v>
      </c>
    </row>
    <row r="164" spans="1:10" x14ac:dyDescent="0.55000000000000004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4">
        <f>'Resultater - Vestdanmark'!H164+'Resultater - Østdanmark'!H164</f>
        <v>72508.724428055051</v>
      </c>
      <c r="I164" s="255">
        <f>'Resultater - Vestdanmark'!I164+'Resultater - Østdanmark'!I164</f>
        <v>64445.338767164321</v>
      </c>
      <c r="J164" s="256">
        <f>'Resultater - Vestdanmark'!J164+'Resultater - Østdanmark'!J164</f>
        <v>0</v>
      </c>
    </row>
    <row r="165" spans="1:10" x14ac:dyDescent="0.55000000000000004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4">
        <f>'Resultater - Vestdanmark'!H165+'Resultater - Østdanmark'!H165</f>
        <v>229792.23730502045</v>
      </c>
      <c r="I165" s="255">
        <f>'Resultater - Vestdanmark'!I165+'Resultater - Østdanmark'!I165</f>
        <v>1216060.6047042734</v>
      </c>
      <c r="J165" s="256">
        <f>'Resultater - Vestdanmark'!J165+'Resultater - Østdanmark'!J165</f>
        <v>3650978.31648</v>
      </c>
    </row>
    <row r="166" spans="1:10" x14ac:dyDescent="0.55000000000000004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4">
        <f>'Resultater - Vestdanmark'!H166+'Resultater - Østdanmark'!H166</f>
        <v>-2229300.7257745154</v>
      </c>
      <c r="I166" s="255">
        <f>'Resultater - Vestdanmark'!I166+'Resultater - Østdanmark'!I166</f>
        <v>-11803691.91282858</v>
      </c>
      <c r="J166" s="256">
        <f>'Resultater - Vestdanmark'!J166+'Resultater - Østdanmark'!J166</f>
        <v>-35473944</v>
      </c>
    </row>
    <row r="167" spans="1:10" x14ac:dyDescent="0.55000000000000004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4">
        <f>'Resultater - Vestdanmark'!H167+'Resultater - Østdanmark'!H167</f>
        <v>25343.742518123829</v>
      </c>
      <c r="I167" s="255">
        <f>'Resultater - Vestdanmark'!I167+'Resultater - Østdanmark'!I167</f>
        <v>134189.93908866012</v>
      </c>
      <c r="J167" s="256">
        <f>'Resultater - Vestdanmark'!J167+'Resultater - Østdanmark'!J167</f>
        <v>403284.5333264732</v>
      </c>
    </row>
    <row r="168" spans="1:10" x14ac:dyDescent="0.55000000000000004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4">
        <f>'Resultater - Vestdanmark'!H168+'Resultater - Østdanmark'!H168</f>
        <v>2895.9534319120221</v>
      </c>
      <c r="I168" s="255">
        <f>'Resultater - Vestdanmark'!I168+'Resultater - Østdanmark'!I168</f>
        <v>2155.7040264948455</v>
      </c>
      <c r="J168" s="256">
        <f>'Resultater - Vestdanmark'!J168+'Resultater - Østdanmark'!J168</f>
        <v>233.92013217774507</v>
      </c>
    </row>
    <row r="169" spans="1:10" x14ac:dyDescent="0.55000000000000004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4">
        <f>'Resultater - Vestdanmark'!H169+'Resultater - Østdanmark'!H169</f>
        <v>-22826.968918399438</v>
      </c>
      <c r="I169" s="255">
        <f>'Resultater - Vestdanmark'!I169+'Resultater - Østdanmark'!I169</f>
        <v>-17001.026671297266</v>
      </c>
      <c r="J169" s="256">
        <f>'Resultater - Vestdanmark'!J169+'Resultater - Østdanmark'!J169</f>
        <v>-1846.6780741781761</v>
      </c>
    </row>
    <row r="170" spans="1:10" x14ac:dyDescent="0.55000000000000004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4">
        <f>'Resultater - Vestdanmark'!H170+'Resultater - Østdanmark'!H170</f>
        <v>1872.0097963032511</v>
      </c>
      <c r="I170" s="255">
        <f>'Resultater - Vestdanmark'!I170+'Resultater - Østdanmark'!I170</f>
        <v>1394.2319100556647</v>
      </c>
      <c r="J170" s="256">
        <f>'Resultater - Vestdanmark'!J170+'Resultater - Østdanmark'!J170</f>
        <v>151.44364798663605</v>
      </c>
    </row>
    <row r="171" spans="1:10" x14ac:dyDescent="0.55000000000000004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4">
        <f>'Resultater - Vestdanmark'!H171+'Resultater - Østdanmark'!H171</f>
        <v>873.12609941568871</v>
      </c>
      <c r="I171" s="255">
        <f>'Resultater - Vestdanmark'!I171+'Resultater - Østdanmark'!I171</f>
        <v>635.63918682951714</v>
      </c>
      <c r="J171" s="256">
        <f>'Resultater - Vestdanmark'!J171+'Resultater - Østdanmark'!J171</f>
        <v>0</v>
      </c>
    </row>
    <row r="172" spans="1:10" x14ac:dyDescent="0.55000000000000004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4">
        <f>'Resultater - Vestdanmark'!H172+'Resultater - Østdanmark'!H172</f>
        <v>-5747.8555301287988</v>
      </c>
      <c r="I172" s="255">
        <f>'Resultater - Vestdanmark'!I172+'Resultater - Østdanmark'!I172</f>
        <v>-4186.6714331684361</v>
      </c>
      <c r="J172" s="256">
        <f>'Resultater - Vestdanmark'!J172+'Resultater - Østdanmark'!J172</f>
        <v>0</v>
      </c>
    </row>
    <row r="173" spans="1:10" x14ac:dyDescent="0.55000000000000004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4">
        <f>'Resultater - Vestdanmark'!H173+'Resultater - Østdanmark'!H173</f>
        <v>1238.8653838857663</v>
      </c>
      <c r="I173" s="255">
        <f>'Resultater - Vestdanmark'!I173+'Resultater - Østdanmark'!I173</f>
        <v>902.37520499050572</v>
      </c>
      <c r="J173" s="256">
        <f>'Resultater - Vestdanmark'!J173+'Resultater - Østdanmark'!J173</f>
        <v>0</v>
      </c>
    </row>
    <row r="174" spans="1:10" x14ac:dyDescent="0.55000000000000004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4">
        <f>'Resultater - Vestdanmark'!H174+'Resultater - Østdanmark'!H174</f>
        <v>16747.502556513253</v>
      </c>
      <c r="I174" s="255">
        <f>'Resultater - Vestdanmark'!I174+'Resultater - Østdanmark'!I174</f>
        <v>108399.19235516411</v>
      </c>
      <c r="J174" s="256">
        <f>'Resultater - Vestdanmark'!J174+'Resultater - Østdanmark'!J174</f>
        <v>441436.46917439986</v>
      </c>
    </row>
    <row r="175" spans="1:10" x14ac:dyDescent="0.55000000000000004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4">
        <f>'Resultater - Vestdanmark'!H175+'Resultater - Østdanmark'!H175</f>
        <v>-162473.80695714155</v>
      </c>
      <c r="I175" s="255">
        <f>'Resultater - Vestdanmark'!I175+'Resultater - Østdanmark'!I175</f>
        <v>-1052176.7296877089</v>
      </c>
      <c r="J175" s="256">
        <f>'Resultater - Vestdanmark'!J175+'Resultater - Østdanmark'!J175</f>
        <v>-4289122.3199999984</v>
      </c>
    </row>
    <row r="176" spans="1:10" x14ac:dyDescent="0.55000000000000004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4">
        <f>'Resultater - Vestdanmark'!H176+'Resultater - Østdanmark'!H176</f>
        <v>3240.4892959857261</v>
      </c>
      <c r="I176" s="255">
        <f>'Resultater - Vestdanmark'!I176+'Resultater - Østdanmark'!I176</f>
        <v>20985.335999036983</v>
      </c>
      <c r="J176" s="256">
        <f>'Resultater - Vestdanmark'!J176+'Resultater - Østdanmark'!J176</f>
        <v>85545.204038948854</v>
      </c>
    </row>
    <row r="177" spans="1:10" x14ac:dyDescent="0.55000000000000004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4">
        <f>'Resultater - Vestdanmark'!H177+'Resultater - Østdanmark'!H177</f>
        <v>211.06016492677367</v>
      </c>
      <c r="I177" s="255">
        <f>'Resultater - Vestdanmark'!I177+'Resultater - Østdanmark'!I177</f>
        <v>192.15865930106577</v>
      </c>
      <c r="J177" s="256">
        <f>'Resultater - Vestdanmark'!J177+'Resultater - Østdanmark'!J177</f>
        <v>28.283070526945536</v>
      </c>
    </row>
    <row r="178" spans="1:10" x14ac:dyDescent="0.55000000000000004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4">
        <f>'Resultater - Vestdanmark'!H178+'Resultater - Østdanmark'!H178</f>
        <v>-1663.6537630768387</v>
      </c>
      <c r="I178" s="255">
        <f>'Resultater - Vestdanmark'!I178+'Resultater - Østdanmark'!I178</f>
        <v>-1515.4652270191677</v>
      </c>
      <c r="J178" s="256">
        <f>'Resultater - Vestdanmark'!J178+'Resultater - Østdanmark'!J178</f>
        <v>-223.28016715063399</v>
      </c>
    </row>
    <row r="179" spans="1:10" x14ac:dyDescent="0.55000000000000004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4">
        <f>'Resultater - Vestdanmark'!H179+'Resultater - Østdanmark'!H179</f>
        <v>239.35800730941858</v>
      </c>
      <c r="I179" s="255">
        <f>'Resultater - Vestdanmark'!I179+'Resultater - Østdanmark'!I179</f>
        <v>218.0373975262483</v>
      </c>
      <c r="J179" s="256">
        <f>'Resultater - Vestdanmark'!J179+'Resultater - Østdanmark'!J179</f>
        <v>32.124410178983403</v>
      </c>
    </row>
    <row r="180" spans="1:10" x14ac:dyDescent="0.55000000000000004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4">
        <f>'Resultater - Vestdanmark'!H180+'Resultater - Østdanmark'!H180</f>
        <v>63.63435838223252</v>
      </c>
      <c r="I180" s="255">
        <f>'Resultater - Vestdanmark'!I180+'Resultater - Østdanmark'!I180</f>
        <v>56.660641924477929</v>
      </c>
      <c r="J180" s="256">
        <f>'Resultater - Vestdanmark'!J180+'Resultater - Østdanmark'!J180</f>
        <v>0</v>
      </c>
    </row>
    <row r="181" spans="1:10" x14ac:dyDescent="0.55000000000000004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4">
        <f>'Resultater - Vestdanmark'!H181+'Resultater - Østdanmark'!H181</f>
        <v>-418.90982182102539</v>
      </c>
      <c r="I181" s="255">
        <f>'Resultater - Vestdanmark'!I181+'Resultater - Østdanmark'!I181</f>
        <v>-373.19834246440422</v>
      </c>
      <c r="J181" s="256">
        <f>'Resultater - Vestdanmark'!J181+'Resultater - Østdanmark'!J181</f>
        <v>0</v>
      </c>
    </row>
    <row r="182" spans="1:10" x14ac:dyDescent="0.55000000000000004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4">
        <f>'Resultater - Vestdanmark'!H182+'Resultater - Østdanmark'!H182</f>
        <v>158.40320397740001</v>
      </c>
      <c r="I182" s="255">
        <f>'Resultater - Vestdanmark'!I182+'Resultater - Østdanmark'!I182</f>
        <v>141.11823138554433</v>
      </c>
      <c r="J182" s="256">
        <f>'Resultater - Vestdanmark'!J182+'Resultater - Østdanmark'!J182</f>
        <v>0</v>
      </c>
    </row>
    <row r="183" spans="1:10" x14ac:dyDescent="0.55000000000000004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4">
        <f>'Resultater - Vestdanmark'!H183+'Resultater - Østdanmark'!H183</f>
        <v>27718.750814801697</v>
      </c>
      <c r="I183" s="255">
        <f>'Resultater - Vestdanmark'!I183+'Resultater - Østdanmark'!I183</f>
        <v>156873.63226122936</v>
      </c>
      <c r="J183" s="256">
        <f>'Resultater - Vestdanmark'!J183+'Resultater - Østdanmark'!J183</f>
        <v>537840.78530890634</v>
      </c>
    </row>
    <row r="184" spans="1:10" x14ac:dyDescent="0.55000000000000004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4">
        <f>'Resultater - Vestdanmark'!H184+'Resultater - Østdanmark'!H184</f>
        <v>-23717015.446220245</v>
      </c>
      <c r="I184" s="255">
        <f>'Resultater - Vestdanmark'!I184+'Resultater - Østdanmark'!I184</f>
        <v>-124168126.80113004</v>
      </c>
      <c r="J184" s="256">
        <f>'Resultater - Vestdanmark'!J184+'Resultater - Østdanmark'!J184</f>
        <v>-372496299.30233729</v>
      </c>
    </row>
    <row r="185" spans="1:10" x14ac:dyDescent="0.55000000000000004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4">
        <f>'Resultater - Vestdanmark'!H185+'Resultater - Østdanmark'!H185</f>
        <v>5135.7375651082511</v>
      </c>
      <c r="I185" s="255">
        <f>'Resultater - Vestdanmark'!I185+'Resultater - Østdanmark'!I185</f>
        <v>26887.654336090462</v>
      </c>
      <c r="J185" s="256">
        <f>'Resultater - Vestdanmark'!J185+'Resultater - Østdanmark'!J185</f>
        <v>80661.213107895484</v>
      </c>
    </row>
    <row r="186" spans="1:10" x14ac:dyDescent="0.55000000000000004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4">
        <f>'Resultater - Vestdanmark'!H186+'Resultater - Østdanmark'!H186</f>
        <v>2020.1720283442451</v>
      </c>
      <c r="I186" s="255">
        <f>'Resultater - Vestdanmark'!I186+'Resultater - Østdanmark'!I186</f>
        <v>13983.65753578015</v>
      </c>
      <c r="J186" s="256">
        <f>'Resultater - Vestdanmark'!J186+'Resultater - Østdanmark'!J186</f>
        <v>65029.840405531388</v>
      </c>
    </row>
    <row r="187" spans="1:10" x14ac:dyDescent="0.55000000000000004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4">
        <f>'Resultater - Vestdanmark'!H187+'Resultater - Østdanmark'!H187</f>
        <v>-1728521.3002700505</v>
      </c>
      <c r="I187" s="255">
        <f>'Resultater - Vestdanmark'!I187+'Resultater - Østdanmark'!I187</f>
        <v>-11068300.88025859</v>
      </c>
      <c r="J187" s="256">
        <f>'Resultater - Vestdanmark'!J187+'Resultater - Østdanmark'!J187</f>
        <v>-45038188.915646225</v>
      </c>
    </row>
    <row r="188" spans="1:10" x14ac:dyDescent="0.55000000000000004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4">
        <f>'Resultater - Vestdanmark'!H188+'Resultater - Østdanmark'!H188</f>
        <v>656.66318203887363</v>
      </c>
      <c r="I188" s="255">
        <f>'Resultater - Vestdanmark'!I188+'Resultater - Østdanmark'!I188</f>
        <v>4204.8343139646322</v>
      </c>
      <c r="J188" s="256">
        <f>'Resultater - Vestdanmark'!J188+'Resultater - Østdanmark'!J188</f>
        <v>17109.954295614192</v>
      </c>
    </row>
    <row r="189" spans="1:10" x14ac:dyDescent="0.55000000000000004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4">
        <f>'Resultater - Vestdanmark'!H189+'Resultater - Østdanmark'!H189</f>
        <v>1960428.2349329358</v>
      </c>
      <c r="I189" s="255">
        <f>'Resultater - Vestdanmark'!I189+'Resultater - Østdanmark'!I189</f>
        <v>1829567.0074663765</v>
      </c>
      <c r="J189" s="256">
        <f>'Resultater - Vestdanmark'!J189+'Resultater - Østdanmark'!J189</f>
        <v>0</v>
      </c>
    </row>
    <row r="190" spans="1:10" x14ac:dyDescent="0.55000000000000004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4">
        <f>'Resultater - Vestdanmark'!H190+'Resultater - Østdanmark'!H190</f>
        <v>-6923899.3970784517</v>
      </c>
      <c r="I190" s="255">
        <f>'Resultater - Vestdanmark'!I190+'Resultater - Østdanmark'!I190</f>
        <v>-6461719.7784566805</v>
      </c>
      <c r="J190" s="256">
        <f>'Resultater - Vestdanmark'!J190+'Resultater - Østdanmark'!J190</f>
        <v>0</v>
      </c>
    </row>
    <row r="191" spans="1:10" x14ac:dyDescent="0.55000000000000004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4">
        <f>'Resultater - Vestdanmark'!H191+'Resultater - Østdanmark'!H191</f>
        <v>104952.20706782168</v>
      </c>
      <c r="I191" s="255">
        <f>'Resultater - Vestdanmark'!I191+'Resultater - Østdanmark'!I191</f>
        <v>97946.505763642359</v>
      </c>
      <c r="J191" s="256">
        <f>'Resultater - Vestdanmark'!J191+'Resultater - Østdanmark'!J191</f>
        <v>0</v>
      </c>
    </row>
    <row r="192" spans="1:10" x14ac:dyDescent="0.55000000000000004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4">
        <f>'Resultater - Vestdanmark'!H192+'Resultater - Østdanmark'!H192</f>
        <v>74529.950322797784</v>
      </c>
      <c r="I192" s="255">
        <f>'Resultater - Vestdanmark'!I192+'Resultater - Østdanmark'!I192</f>
        <v>55486.777603221817</v>
      </c>
      <c r="J192" s="256">
        <f>'Resultater - Vestdanmark'!J192+'Resultater - Østdanmark'!J192</f>
        <v>6027.0604586288609</v>
      </c>
    </row>
    <row r="193" spans="1:10" x14ac:dyDescent="0.55000000000000004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4">
        <f>'Resultater - Vestdanmark'!H193+'Resultater - Østdanmark'!H193</f>
        <v>-175484.74661777477</v>
      </c>
      <c r="I193" s="255">
        <f>'Resultater - Vestdanmark'!I193+'Resultater - Østdanmark'!I193</f>
        <v>-130646.57988051481</v>
      </c>
      <c r="J193" s="256">
        <f>'Resultater - Vestdanmark'!J193+'Resultater - Østdanmark'!J193</f>
        <v>-14191.035588399836</v>
      </c>
    </row>
    <row r="194" spans="1:10" x14ac:dyDescent="0.55000000000000004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4">
        <f>'Resultater - Vestdanmark'!H194+'Resultater - Østdanmark'!H194</f>
        <v>23385.82028389235</v>
      </c>
      <c r="I194" s="255">
        <f>'Resultater - Vestdanmark'!I194+'Resultater - Østdanmark'!I194</f>
        <v>17410.501463387231</v>
      </c>
      <c r="J194" s="256">
        <f>'Resultater - Vestdanmark'!J194+'Resultater - Østdanmark'!J194</f>
        <v>1891.1558657316614</v>
      </c>
    </row>
    <row r="195" spans="1:10" x14ac:dyDescent="0.55000000000000004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4">
        <f>'Resultater - Vestdanmark'!H195+'Resultater - Østdanmark'!H195</f>
        <v>74479.88306993802</v>
      </c>
      <c r="I195" s="255">
        <f>'Resultater - Vestdanmark'!I195+'Resultater - Østdanmark'!I195</f>
        <v>53870.120548999948</v>
      </c>
      <c r="J195" s="256">
        <f>'Resultater - Vestdanmark'!J195+'Resultater - Østdanmark'!J195</f>
        <v>0</v>
      </c>
    </row>
    <row r="196" spans="1:10" x14ac:dyDescent="0.55000000000000004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4">
        <f>'Resultater - Vestdanmark'!H196+'Resultater - Østdanmark'!H196</f>
        <v>-112735.83895599192</v>
      </c>
      <c r="I196" s="255">
        <f>'Resultater - Vestdanmark'!I196+'Resultater - Østdanmark'!I196</f>
        <v>-81540.04792205675</v>
      </c>
      <c r="J196" s="256">
        <f>'Resultater - Vestdanmark'!J196+'Resultater - Østdanmark'!J196</f>
        <v>0</v>
      </c>
    </row>
    <row r="197" spans="1:10" x14ac:dyDescent="0.55000000000000004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4">
        <f>'Resultater - Vestdanmark'!H197+'Resultater - Østdanmark'!H197</f>
        <v>51296.929124309347</v>
      </c>
      <c r="I197" s="255">
        <f>'Resultater - Vestdanmark'!I197+'Resultater - Østdanmark'!I197</f>
        <v>37102.256902379835</v>
      </c>
      <c r="J197" s="256">
        <f>'Resultater - Vestdanmark'!J197+'Resultater - Østdanmark'!J197</f>
        <v>0</v>
      </c>
    </row>
    <row r="198" spans="1:10" x14ac:dyDescent="0.55000000000000004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4">
        <f>'Resultater - Vestdanmark'!H198+'Resultater - Østdanmark'!H198</f>
        <v>142878.09397503437</v>
      </c>
      <c r="I198" s="255">
        <f>'Resultater - Vestdanmark'!I198+'Resultater - Østdanmark'!I198</f>
        <v>163086.9260971075</v>
      </c>
      <c r="J198" s="256">
        <f>'Resultater - Vestdanmark'!J198+'Resultater - Østdanmark'!J198</f>
        <v>0</v>
      </c>
    </row>
    <row r="199" spans="1:10" x14ac:dyDescent="0.55000000000000004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4">
        <f>'Resultater - Vestdanmark'!H199+'Resultater - Østdanmark'!H199</f>
        <v>-504621.14914566139</v>
      </c>
      <c r="I199" s="255">
        <f>'Resultater - Vestdanmark'!I199+'Resultater - Østdanmark'!I199</f>
        <v>-575995.31018475117</v>
      </c>
      <c r="J199" s="256">
        <f>'Resultater - Vestdanmark'!J199+'Resultater - Østdanmark'!J199</f>
        <v>0</v>
      </c>
    </row>
    <row r="200" spans="1:10" x14ac:dyDescent="0.55000000000000004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4">
        <f>'Resultater - Vestdanmark'!H200+'Resultater - Østdanmark'!H200</f>
        <v>13419.348123117323</v>
      </c>
      <c r="I200" s="255">
        <f>'Resultater - Vestdanmark'!I200+'Resultater - Østdanmark'!I200</f>
        <v>15317.395233510057</v>
      </c>
      <c r="J200" s="256">
        <f>'Resultater - Vestdanmark'!J200+'Resultater - Østdanmark'!J200</f>
        <v>0</v>
      </c>
    </row>
    <row r="201" spans="1:10" x14ac:dyDescent="0.55000000000000004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4">
        <f>'Resultater - Vestdanmark'!H201+'Resultater - Østdanmark'!H201</f>
        <v>5431.8220154279852</v>
      </c>
      <c r="I201" s="255">
        <f>'Resultater - Vestdanmark'!I201+'Resultater - Østdanmark'!I201</f>
        <v>4946.0708251810674</v>
      </c>
      <c r="J201" s="256">
        <f>'Resultater - Vestdanmark'!J201+'Resultater - Østdanmark'!J201</f>
        <v>728.72640090694415</v>
      </c>
    </row>
    <row r="202" spans="1:10" x14ac:dyDescent="0.55000000000000004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4">
        <f>'Resultater - Vestdanmark'!H202+'Resultater - Østdanmark'!H202</f>
        <v>-12789.514898665619</v>
      </c>
      <c r="I202" s="255">
        <f>'Resultater - Vestdanmark'!I202+'Resultater - Østdanmark'!I202</f>
        <v>-11645.78779069667</v>
      </c>
      <c r="J202" s="256">
        <f>'Resultater - Vestdanmark'!J202+'Resultater - Østdanmark'!J202</f>
        <v>-1715.8252120519801</v>
      </c>
    </row>
    <row r="203" spans="1:10" x14ac:dyDescent="0.55000000000000004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4">
        <f>'Resultater - Vestdanmark'!H203+'Resultater - Østdanmark'!H203</f>
        <v>2990.1463942669939</v>
      </c>
      <c r="I203" s="255">
        <f>'Resultater - Vestdanmark'!I203+'Resultater - Østdanmark'!I203</f>
        <v>2722.7467692604514</v>
      </c>
      <c r="J203" s="256">
        <f>'Resultater - Vestdanmark'!J203+'Resultater - Østdanmark'!J203</f>
        <v>401.15427454914033</v>
      </c>
    </row>
    <row r="204" spans="1:10" x14ac:dyDescent="0.55000000000000004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4">
        <f>'Resultater - Vestdanmark'!H204+'Resultater - Østdanmark'!H204</f>
        <v>5428.1730608109774</v>
      </c>
      <c r="I204" s="255">
        <f>'Resultater - Vestdanmark'!I204+'Resultater - Østdanmark'!I204</f>
        <v>4801.9626135384869</v>
      </c>
      <c r="J204" s="256">
        <f>'Resultater - Vestdanmark'!J204+'Resultater - Østdanmark'!J204</f>
        <v>0</v>
      </c>
    </row>
    <row r="205" spans="1:10" x14ac:dyDescent="0.55000000000000004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4">
        <f>'Resultater - Vestdanmark'!H205+'Resultater - Østdanmark'!H205</f>
        <v>-8216.3077972908159</v>
      </c>
      <c r="I205" s="255">
        <f>'Resultater - Vestdanmark'!I205+'Resultater - Østdanmark'!I205</f>
        <v>-7268.4497015687839</v>
      </c>
      <c r="J205" s="256">
        <f>'Resultater - Vestdanmark'!J205+'Resultater - Østdanmark'!J205</f>
        <v>0</v>
      </c>
    </row>
    <row r="206" spans="1:10" x14ac:dyDescent="0.55000000000000004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4">
        <f>'Resultater - Vestdanmark'!H206+'Resultater - Østdanmark'!H206</f>
        <v>6558.9030359423223</v>
      </c>
      <c r="I206" s="255">
        <f>'Resultater - Vestdanmark'!I206+'Resultater - Østdanmark'!I206</f>
        <v>5802.2481618730153</v>
      </c>
      <c r="J206" s="256">
        <f>'Resultater - Vestdanmark'!J206+'Resultater - Østdanmark'!J206</f>
        <v>0</v>
      </c>
    </row>
    <row r="207" spans="1:10" x14ac:dyDescent="0.55000000000000004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4">
        <f>'Resultater - Vestdanmark'!H207+'Resultater - Østdanmark'!H207</f>
        <v>10615606.672639394</v>
      </c>
      <c r="I207" s="255">
        <f>'Resultater - Vestdanmark'!I207+'Resultater - Østdanmark'!I207</f>
        <v>8785487.8907183111</v>
      </c>
      <c r="J207" s="256">
        <f>'Resultater - Vestdanmark'!J207+'Resultater - Østdanmark'!J207</f>
        <v>30803799.272399988</v>
      </c>
    </row>
    <row r="208" spans="1:10" x14ac:dyDescent="0.55000000000000004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4">
        <f>'Resultater - Vestdanmark'!H208+'Resultater - Østdanmark'!H208</f>
        <v>-33160399.72307751</v>
      </c>
      <c r="I208" s="255">
        <f>'Resultater - Vestdanmark'!I208+'Resultater - Østdanmark'!I208</f>
        <v>-27443583.697326444</v>
      </c>
      <c r="J208" s="256">
        <f>'Resultater - Vestdanmark'!J208+'Resultater - Østdanmark'!J208</f>
        <v>-96223073.099999964</v>
      </c>
    </row>
    <row r="209" spans="1:10" x14ac:dyDescent="0.55000000000000004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4">
        <f>'Resultater - Vestdanmark'!H209+'Resultater - Østdanmark'!H209</f>
        <v>486429.76821888878</v>
      </c>
      <c r="I209" s="255">
        <f>'Resultater - Vestdanmark'!I209+'Resultater - Østdanmark'!I209</f>
        <v>402569.81726598029</v>
      </c>
      <c r="J209" s="256">
        <f>'Resultater - Vestdanmark'!J209+'Resultater - Østdanmark'!J209</f>
        <v>1411495.8666426558</v>
      </c>
    </row>
    <row r="210" spans="1:10" x14ac:dyDescent="0.55000000000000004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4">
        <f>'Resultater - Vestdanmark'!H210+'Resultater - Østdanmark'!H210</f>
        <v>1227820.3144178872</v>
      </c>
      <c r="I210" s="255">
        <f>'Resultater - Vestdanmark'!I210+'Resultater - Østdanmark'!I210</f>
        <v>914166.62435310567</v>
      </c>
      <c r="J210" s="256">
        <f>'Resultater - Vestdanmark'!J210+'Resultater - Østdanmark'!J210</f>
        <v>99298.206748212877</v>
      </c>
    </row>
    <row r="211" spans="1:10" x14ac:dyDescent="0.55000000000000004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4">
        <f>'Resultater - Vestdanmark'!H211+'Resultater - Østdanmark'!H211</f>
        <v>-2680650.2901102607</v>
      </c>
      <c r="I211" s="255">
        <f>'Resultater - Vestdanmark'!I211+'Resultater - Østdanmark'!I211</f>
        <v>-1995862.9108878095</v>
      </c>
      <c r="J211" s="256">
        <f>'Resultater - Vestdanmark'!J211+'Resultater - Østdanmark'!J211</f>
        <v>-216793.74709908091</v>
      </c>
    </row>
    <row r="212" spans="1:10" x14ac:dyDescent="0.55000000000000004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4">
        <f>'Resultater - Vestdanmark'!H212+'Resultater - Østdanmark'!H212</f>
        <v>329754.92419657321</v>
      </c>
      <c r="I212" s="255">
        <f>'Resultater - Vestdanmark'!I212+'Resultater - Østdanmark'!I212</f>
        <v>245517.15131013631</v>
      </c>
      <c r="J212" s="256">
        <f>'Resultater - Vestdanmark'!J212+'Resultater - Østdanmark'!J212</f>
        <v>26668.456495311071</v>
      </c>
    </row>
    <row r="213" spans="1:10" x14ac:dyDescent="0.55000000000000004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4">
        <f>'Resultater - Vestdanmark'!H213+'Resultater - Østdanmark'!H213</f>
        <v>1475854.3420564069</v>
      </c>
      <c r="I213" s="255">
        <f>'Resultater - Vestdanmark'!I213+'Resultater - Østdanmark'!I213</f>
        <v>1068902.4681739521</v>
      </c>
      <c r="J213" s="256">
        <f>'Resultater - Vestdanmark'!J213+'Resultater - Østdanmark'!J213</f>
        <v>0</v>
      </c>
    </row>
    <row r="214" spans="1:10" x14ac:dyDescent="0.55000000000000004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4">
        <f>'Resultater - Vestdanmark'!H214+'Resultater - Østdanmark'!H214</f>
        <v>-2230735.0998434206</v>
      </c>
      <c r="I214" s="255">
        <f>'Resultater - Vestdanmark'!I214+'Resultater - Østdanmark'!I214</f>
        <v>-1615632.5093318503</v>
      </c>
      <c r="J214" s="256">
        <f>'Resultater - Vestdanmark'!J214+'Resultater - Østdanmark'!J214</f>
        <v>0</v>
      </c>
    </row>
    <row r="215" spans="1:10" x14ac:dyDescent="0.55000000000000004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4">
        <f>'Resultater - Vestdanmark'!H215+'Resultater - Østdanmark'!H215</f>
        <v>870022.68593914213</v>
      </c>
      <c r="I215" s="255">
        <f>'Resultater - Vestdanmark'!I215+'Resultater - Østdanmark'!I215</f>
        <v>630122.74983172875</v>
      </c>
      <c r="J215" s="256">
        <f>'Resultater - Vestdanmark'!J215+'Resultater - Østdanmark'!J215</f>
        <v>0</v>
      </c>
    </row>
    <row r="216" spans="1:10" x14ac:dyDescent="0.55000000000000004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4">
        <f>'Resultater - Vestdanmark'!H216+'Resultater - Østdanmark'!H216</f>
        <v>1058715.4844797079</v>
      </c>
      <c r="I216" s="255">
        <f>'Resultater - Vestdanmark'!I216+'Resultater - Østdanmark'!I216</f>
        <v>1071658.6125037163</v>
      </c>
      <c r="J216" s="256">
        <f>'Resultater - Vestdanmark'!J216+'Resultater - Østdanmark'!J216</f>
        <v>5096628.606887999</v>
      </c>
    </row>
    <row r="217" spans="1:10" x14ac:dyDescent="0.55000000000000004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4">
        <f>'Resultater - Vestdanmark'!H217+'Resultater - Østdanmark'!H217</f>
        <v>-3307152.3598217401</v>
      </c>
      <c r="I217" s="255">
        <f>'Resultater - Vestdanmark'!I217+'Resultater - Østdanmark'!I217</f>
        <v>-3347583.3320853692</v>
      </c>
      <c r="J217" s="256">
        <f>'Resultater - Vestdanmark'!J217+'Resultater - Østdanmark'!J217</f>
        <v>-15920544.821999995</v>
      </c>
    </row>
    <row r="218" spans="1:10" x14ac:dyDescent="0.55000000000000004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4">
        <f>'Resultater - Vestdanmark'!H218+'Resultater - Østdanmark'!H218</f>
        <v>62195.646757178984</v>
      </c>
      <c r="I218" s="255">
        <f>'Resultater - Vestdanmark'!I218+'Resultater - Østdanmark'!I218</f>
        <v>62956.007997110952</v>
      </c>
      <c r="J218" s="256">
        <f>'Resultater - Vestdanmark'!J218+'Resultater - Østdanmark'!J218</f>
        <v>299408.21413632098</v>
      </c>
    </row>
    <row r="219" spans="1:10" x14ac:dyDescent="0.55000000000000004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4">
        <f>'Resultater - Vestdanmark'!H219+'Resultater - Østdanmark'!H219</f>
        <v>122452.95244249655</v>
      </c>
      <c r="I219" s="255">
        <f>'Resultater - Vestdanmark'!I219+'Resultater - Østdanmark'!I219</f>
        <v>111510.54425633678</v>
      </c>
      <c r="J219" s="256">
        <f>'Resultater - Vestdanmark'!J219+'Resultater - Østdanmark'!J219</f>
        <v>16429.339661977039</v>
      </c>
    </row>
    <row r="220" spans="1:10" x14ac:dyDescent="0.55000000000000004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4">
        <f>'Resultater - Vestdanmark'!H220+'Resultater - Østdanmark'!H220</f>
        <v>-267346.56417984271</v>
      </c>
      <c r="I220" s="255">
        <f>'Resultater - Vestdanmark'!I220+'Resultater - Østdanmark'!I220</f>
        <v>-243456.44822860043</v>
      </c>
      <c r="J220" s="256">
        <f>'Resultater - Vestdanmark'!J220+'Resultater - Østdanmark'!J220</f>
        <v>-35869.510883666117</v>
      </c>
    </row>
    <row r="221" spans="1:10" x14ac:dyDescent="0.55000000000000004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4">
        <f>'Resultater - Vestdanmark'!H221+'Resultater - Østdanmark'!H221</f>
        <v>42162.963950309473</v>
      </c>
      <c r="I221" s="255">
        <f>'Resultater - Vestdanmark'!I221+'Resultater - Østdanmark'!I221</f>
        <v>38395.277237330614</v>
      </c>
      <c r="J221" s="256">
        <f>'Resultater - Vestdanmark'!J221+'Resultater - Østdanmark'!J221</f>
        <v>5656.9453171871974</v>
      </c>
    </row>
    <row r="222" spans="1:10" x14ac:dyDescent="0.55000000000000004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4">
        <f>'Resultater - Vestdanmark'!H222+'Resultater - Østdanmark'!H222</f>
        <v>147189.87740935557</v>
      </c>
      <c r="I222" s="255">
        <f>'Resultater - Vestdanmark'!I222+'Resultater - Østdanmark'!I222</f>
        <v>130385.30701923688</v>
      </c>
      <c r="J222" s="256">
        <f>'Resultater - Vestdanmark'!J222+'Resultater - Østdanmark'!J222</f>
        <v>0</v>
      </c>
    </row>
    <row r="223" spans="1:10" x14ac:dyDescent="0.55000000000000004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4">
        <f>'Resultater - Vestdanmark'!H223+'Resultater - Østdanmark'!H223</f>
        <v>-222475.63090894136</v>
      </c>
      <c r="I223" s="255">
        <f>'Resultater - Vestdanmark'!I223+'Resultater - Østdanmark'!I223</f>
        <v>-197075.73612339314</v>
      </c>
      <c r="J223" s="256">
        <f>'Resultater - Vestdanmark'!J223+'Resultater - Østdanmark'!J223</f>
        <v>0</v>
      </c>
    </row>
    <row r="224" spans="1:10" x14ac:dyDescent="0.55000000000000004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4">
        <f>'Resultater - Vestdanmark'!H224+'Resultater - Østdanmark'!H224</f>
        <v>111242.41808542692</v>
      </c>
      <c r="I224" s="255">
        <f>'Resultater - Vestdanmark'!I224+'Resultater - Østdanmark'!I224</f>
        <v>98541.945213338317</v>
      </c>
      <c r="J224" s="256">
        <f>'Resultater - Vestdanmark'!J224+'Resultater - Østdanmark'!J224</f>
        <v>0</v>
      </c>
    </row>
    <row r="225" spans="1:10" x14ac:dyDescent="0.55000000000000004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4">
        <f>'Resultater - Vestdanmark'!H225+'Resultater - Østdanmark'!H225</f>
        <v>252636.14136845001</v>
      </c>
      <c r="I225" s="255">
        <f>'Resultater - Vestdanmark'!I225+'Resultater - Østdanmark'!I225</f>
        <v>926432.43259820575</v>
      </c>
      <c r="J225" s="256">
        <f>'Resultater - Vestdanmark'!J225+'Resultater - Østdanmark'!J225</f>
        <v>1711617.798</v>
      </c>
    </row>
    <row r="226" spans="1:10" x14ac:dyDescent="0.55000000000000004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4">
        <f>'Resultater - Vestdanmark'!H226+'Resultater - Østdanmark'!H226</f>
        <v>75002.300218044285</v>
      </c>
      <c r="I226" s="255">
        <f>'Resultater - Vestdanmark'!I226+'Resultater - Østdanmark'!I226</f>
        <v>289079.66272255441</v>
      </c>
      <c r="J226" s="256">
        <f>'Resultater - Vestdanmark'!J226+'Resultater - Østdanmark'!J226</f>
        <v>580967.20135904965</v>
      </c>
    </row>
    <row r="227" spans="1:10" x14ac:dyDescent="0.55000000000000004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4">
        <f>'Resultater - Vestdanmark'!H227+'Resultater - Østdanmark'!H227</f>
        <v>0</v>
      </c>
      <c r="I227" s="255">
        <f>'Resultater - Vestdanmark'!I227+'Resultater - Østdanmark'!I227</f>
        <v>0</v>
      </c>
      <c r="J227" s="256">
        <f>'Resultater - Vestdanmark'!J227+'Resultater - Østdanmark'!J227</f>
        <v>0</v>
      </c>
    </row>
    <row r="228" spans="1:10" x14ac:dyDescent="0.55000000000000004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4">
        <f>'Resultater - Vestdanmark'!H228+'Resultater - Østdanmark'!H228</f>
        <v>148812.79058360241</v>
      </c>
      <c r="I228" s="255">
        <f>'Resultater - Vestdanmark'!I228+'Resultater - Østdanmark'!I228</f>
        <v>545705.75229388452</v>
      </c>
      <c r="J228" s="256">
        <f>'Resultater - Vestdanmark'!J228+'Resultater - Østdanmark'!J228</f>
        <v>1008211.333316183</v>
      </c>
    </row>
    <row r="229" spans="1:10" x14ac:dyDescent="0.55000000000000004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4">
        <f>'Resultater - Vestdanmark'!H229+'Resultater - Østdanmark'!H229</f>
        <v>9551.9923536804617</v>
      </c>
      <c r="I229" s="255">
        <f>'Resultater - Vestdanmark'!I229+'Resultater - Østdanmark'!I229</f>
        <v>7111.7304020960937</v>
      </c>
      <c r="J229" s="256">
        <f>'Resultater - Vestdanmark'!J229+'Resultater - Østdanmark'!J229</f>
        <v>772.48726544201566</v>
      </c>
    </row>
    <row r="230" spans="1:10" x14ac:dyDescent="0.55000000000000004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4">
        <f>'Resultater - Vestdanmark'!H230+'Resultater - Østdanmark'!H230</f>
        <v>2835.7834881049771</v>
      </c>
      <c r="I230" s="255">
        <f>'Resultater - Vestdanmark'!I230+'Resultater - Østdanmark'!I230</f>
        <v>2219.1112418700272</v>
      </c>
      <c r="J230" s="256">
        <f>'Resultater - Vestdanmark'!J230+'Resultater - Østdanmark'!J230</f>
        <v>262.20209045135977</v>
      </c>
    </row>
    <row r="231" spans="1:10" x14ac:dyDescent="0.55000000000000004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4">
        <f>'Resultater - Vestdanmark'!H231+'Resultater - Østdanmark'!H231</f>
        <v>0</v>
      </c>
      <c r="I231" s="255">
        <f>'Resultater - Vestdanmark'!I231+'Resultater - Østdanmark'!I231</f>
        <v>0</v>
      </c>
      <c r="J231" s="256">
        <f>'Resultater - Vestdanmark'!J231+'Resultater - Østdanmark'!J231</f>
        <v>0</v>
      </c>
    </row>
    <row r="232" spans="1:10" x14ac:dyDescent="0.55000000000000004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4">
        <f>'Resultater - Vestdanmark'!H232+'Resultater - Østdanmark'!H232</f>
        <v>32977.664576989635</v>
      </c>
      <c r="I232" s="255">
        <f>'Resultater - Vestdanmark'!I232+'Resultater - Østdanmark'!I232</f>
        <v>24552.810668021411</v>
      </c>
      <c r="J232" s="256">
        <f>'Resultater - Vestdanmark'!J232+'Resultater - Østdanmark'!J232</f>
        <v>2666.9646484722207</v>
      </c>
    </row>
    <row r="233" spans="1:10" x14ac:dyDescent="0.55000000000000004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4">
        <f>'Resultater - Vestdanmark'!H233+'Resultater - Østdanmark'!H233</f>
        <v>3796.4815039591263</v>
      </c>
      <c r="I233" s="255">
        <f>'Resultater - Vestdanmark'!I233+'Resultater - Østdanmark'!I233</f>
        <v>2748.569108805103</v>
      </c>
      <c r="J233" s="256">
        <f>'Resultater - Vestdanmark'!J233+'Resultater - Østdanmark'!J233</f>
        <v>0</v>
      </c>
    </row>
    <row r="234" spans="1:10" x14ac:dyDescent="0.55000000000000004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4">
        <f>'Resultater - Vestdanmark'!H234+'Resultater - Østdanmark'!H234</f>
        <v>1127.0946587048945</v>
      </c>
      <c r="I234" s="255">
        <f>'Resultater - Vestdanmark'!I234+'Resultater - Østdanmark'!I234</f>
        <v>857.65070714834349</v>
      </c>
      <c r="J234" s="256">
        <f>'Resultater - Vestdanmark'!J234+'Resultater - Østdanmark'!J234</f>
        <v>0</v>
      </c>
    </row>
    <row r="235" spans="1:10" x14ac:dyDescent="0.55000000000000004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4">
        <f>'Resultater - Vestdanmark'!H235+'Resultater - Østdanmark'!H235</f>
        <v>0</v>
      </c>
      <c r="I235" s="255">
        <f>'Resultater - Vestdanmark'!I235+'Resultater - Østdanmark'!I235</f>
        <v>0</v>
      </c>
      <c r="J235" s="256">
        <f>'Resultater - Vestdanmark'!J235+'Resultater - Østdanmark'!J235</f>
        <v>0</v>
      </c>
    </row>
    <row r="236" spans="1:10" x14ac:dyDescent="0.55000000000000004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4">
        <f>'Resultater - Vestdanmark'!H236+'Resultater - Østdanmark'!H236</f>
        <v>28769.864955948491</v>
      </c>
      <c r="I236" s="255">
        <f>'Resultater - Vestdanmark'!I236+'Resultater - Østdanmark'!I236</f>
        <v>20828.749461824289</v>
      </c>
      <c r="J236" s="256">
        <f>'Resultater - Vestdanmark'!J236+'Resultater - Østdanmark'!J236</f>
        <v>0</v>
      </c>
    </row>
    <row r="237" spans="1:10" x14ac:dyDescent="0.55000000000000004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4">
        <f>'Resultater - Vestdanmark'!H237+'Resultater - Østdanmark'!H237</f>
        <v>18412.390570964348</v>
      </c>
      <c r="I237" s="255">
        <f>'Resultater - Vestdanmark'!I237+'Resultater - Østdanmark'!I237</f>
        <v>82581.84425742265</v>
      </c>
      <c r="J237" s="256">
        <f>'Resultater - Vestdanmark'!J237+'Resultater - Østdanmark'!J237</f>
        <v>206950.15193999995</v>
      </c>
    </row>
    <row r="238" spans="1:10" x14ac:dyDescent="0.55000000000000004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4">
        <f>'Resultater - Vestdanmark'!H238+'Resultater - Østdanmark'!H238</f>
        <v>5466.2473779684478</v>
      </c>
      <c r="I238" s="255">
        <f>'Resultater - Vestdanmark'!I238+'Resultater - Østdanmark'!I238</f>
        <v>25768.454174246155</v>
      </c>
      <c r="J238" s="256">
        <f>'Resultater - Vestdanmark'!J238+'Resultater - Østdanmark'!J238</f>
        <v>70244.216164321464</v>
      </c>
    </row>
    <row r="239" spans="1:10" x14ac:dyDescent="0.55000000000000004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4">
        <f>'Resultater - Vestdanmark'!H239+'Resultater - Østdanmark'!H239</f>
        <v>0</v>
      </c>
      <c r="I239" s="255">
        <f>'Resultater - Vestdanmark'!I239+'Resultater - Østdanmark'!I239</f>
        <v>0</v>
      </c>
      <c r="J239" s="256">
        <f>'Resultater - Vestdanmark'!J239+'Resultater - Østdanmark'!J239</f>
        <v>0</v>
      </c>
    </row>
    <row r="240" spans="1:10" x14ac:dyDescent="0.55000000000000004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4">
        <f>'Resultater - Vestdanmark'!H240+'Resultater - Østdanmark'!H240</f>
        <v>19027.428748815582</v>
      </c>
      <c r="I240" s="255">
        <f>'Resultater - Vestdanmark'!I240+'Resultater - Østdanmark'!I240</f>
        <v>85340.366396083715</v>
      </c>
      <c r="J240" s="256">
        <f>'Resultater - Vestdanmark'!J240+'Resultater - Østdanmark'!J240</f>
        <v>213863.01009737211</v>
      </c>
    </row>
    <row r="241" spans="1:10" x14ac:dyDescent="0.55000000000000004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4">
        <f>'Resultater - Vestdanmark'!H241+'Resultater - Østdanmark'!H241</f>
        <v>696.15935785818442</v>
      </c>
      <c r="I241" s="255">
        <f>'Resultater - Vestdanmark'!I241+'Resultater - Østdanmark'!I241</f>
        <v>633.93701666896368</v>
      </c>
      <c r="J241" s="256">
        <f>'Resultater - Vestdanmark'!J241+'Resultater - Østdanmark'!J241</f>
        <v>93.40073300344369</v>
      </c>
    </row>
    <row r="242" spans="1:10" x14ac:dyDescent="0.55000000000000004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4">
        <f>'Resultater - Vestdanmark'!H242+'Resultater - Østdanmark'!H242</f>
        <v>206.67491545293632</v>
      </c>
      <c r="I242" s="255">
        <f>'Resultater - Vestdanmark'!I242+'Resultater - Østdanmark'!I242</f>
        <v>197.81075501863998</v>
      </c>
      <c r="J242" s="256">
        <f>'Resultater - Vestdanmark'!J242+'Resultater - Østdanmark'!J242</f>
        <v>31.702616390937131</v>
      </c>
    </row>
    <row r="243" spans="1:10" x14ac:dyDescent="0.55000000000000004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4">
        <f>'Resultater - Vestdanmark'!H243+'Resultater - Østdanmark'!H243</f>
        <v>0</v>
      </c>
      <c r="I243" s="255">
        <f>'Resultater - Vestdanmark'!I243+'Resultater - Østdanmark'!I243</f>
        <v>0</v>
      </c>
      <c r="J243" s="256">
        <f>'Resultater - Vestdanmark'!J243+'Resultater - Østdanmark'!J243</f>
        <v>0</v>
      </c>
    </row>
    <row r="244" spans="1:10" x14ac:dyDescent="0.55000000000000004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4">
        <f>'Resultater - Vestdanmark'!H244+'Resultater - Østdanmark'!H244</f>
        <v>4216.5741303567183</v>
      </c>
      <c r="I244" s="255">
        <f>'Resultater - Vestdanmark'!I244+'Resultater - Østdanmark'!I244</f>
        <v>3839.699049633974</v>
      </c>
      <c r="J244" s="256">
        <f>'Resultater - Vestdanmark'!J244+'Resultater - Østdanmark'!J244</f>
        <v>565.7197739183498</v>
      </c>
    </row>
    <row r="245" spans="1:10" x14ac:dyDescent="0.55000000000000004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4">
        <f>'Resultater - Vestdanmark'!H245+'Resultater - Østdanmark'!H245</f>
        <v>276.69160820656509</v>
      </c>
      <c r="I245" s="255">
        <f>'Resultater - Vestdanmark'!I245+'Resultater - Østdanmark'!I245</f>
        <v>245.00643337531793</v>
      </c>
      <c r="J245" s="256">
        <f>'Resultater - Vestdanmark'!J245+'Resultater - Østdanmark'!J245</f>
        <v>0</v>
      </c>
    </row>
    <row r="246" spans="1:10" x14ac:dyDescent="0.55000000000000004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4">
        <f>'Resultater - Vestdanmark'!H246+'Resultater - Østdanmark'!H246</f>
        <v>82.143856987810693</v>
      </c>
      <c r="I246" s="255">
        <f>'Resultater - Vestdanmark'!I246+'Resultater - Østdanmark'!I246</f>
        <v>76.450666700385625</v>
      </c>
      <c r="J246" s="256">
        <f>'Resultater - Vestdanmark'!J246+'Resultater - Østdanmark'!J246</f>
        <v>0</v>
      </c>
    </row>
    <row r="247" spans="1:10" x14ac:dyDescent="0.55000000000000004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4">
        <f>'Resultater - Vestdanmark'!H247+'Resultater - Østdanmark'!H247</f>
        <v>0</v>
      </c>
      <c r="I247" s="255">
        <f>'Resultater - Vestdanmark'!I247+'Resultater - Østdanmark'!I247</f>
        <v>0</v>
      </c>
      <c r="J247" s="256">
        <f>'Resultater - Vestdanmark'!J247+'Resultater - Østdanmark'!J247</f>
        <v>0</v>
      </c>
    </row>
    <row r="248" spans="1:10" x14ac:dyDescent="0.55000000000000004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4">
        <f>'Resultater - Vestdanmark'!H248+'Resultater - Østdanmark'!H248</f>
        <v>3678.55849900765</v>
      </c>
      <c r="I248" s="255">
        <f>'Resultater - Vestdanmark'!I248+'Resultater - Østdanmark'!I248</f>
        <v>3257.3105619144067</v>
      </c>
      <c r="J248" s="256">
        <f>'Resultater - Vestdanmark'!J248+'Resultater - Østdanmark'!J248</f>
        <v>0</v>
      </c>
    </row>
    <row r="249" spans="1:10" x14ac:dyDescent="0.55000000000000004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4">
        <f>'Resultater - Vestdanmark'!H249+'Resultater - Østdanmark'!H249</f>
        <v>2410176.5834804205</v>
      </c>
      <c r="I249" s="255">
        <f>'Resultater - Vestdanmark'!I249+'Resultater - Østdanmark'!I249</f>
        <v>2152672.5067924876</v>
      </c>
      <c r="J249" s="256">
        <f>'Resultater - Vestdanmark'!J249+'Resultater - Østdanmark'!J249</f>
        <v>0</v>
      </c>
    </row>
    <row r="250" spans="1:10" x14ac:dyDescent="0.55000000000000004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4">
        <f>'Resultater - Vestdanmark'!H250+'Resultater - Østdanmark'!H250</f>
        <v>-4004417.1927958126</v>
      </c>
      <c r="I250" s="255">
        <f>'Resultater - Vestdanmark'!I250+'Resultater - Østdanmark'!I250</f>
        <v>-3576583.9132876657</v>
      </c>
      <c r="J250" s="256">
        <f>'Resultater - Vestdanmark'!J250+'Resultater - Østdanmark'!J250</f>
        <v>0</v>
      </c>
    </row>
    <row r="251" spans="1:10" x14ac:dyDescent="0.55000000000000004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4">
        <f>'Resultater - Vestdanmark'!H251+'Resultater - Østdanmark'!H251</f>
        <v>67443.117157939108</v>
      </c>
      <c r="I251" s="255">
        <f>'Resultater - Vestdanmark'!I251+'Resultater - Østdanmark'!I251</f>
        <v>60237.471840602018</v>
      </c>
      <c r="J251" s="256">
        <f>'Resultater - Vestdanmark'!J251+'Resultater - Østdanmark'!J251</f>
        <v>0</v>
      </c>
    </row>
    <row r="252" spans="1:10" x14ac:dyDescent="0.55000000000000004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4">
        <f>'Resultater - Vestdanmark'!H252+'Resultater - Østdanmark'!H252</f>
        <v>16302.299566350639</v>
      </c>
      <c r="I252" s="255">
        <f>'Resultater - Vestdanmark'!I252+'Resultater - Østdanmark'!I252</f>
        <v>12154.253473160754</v>
      </c>
      <c r="J252" s="256">
        <f>'Resultater - Vestdanmark'!J252+'Resultater - Østdanmark'!J252</f>
        <v>1320.2139982983294</v>
      </c>
    </row>
    <row r="253" spans="1:10" x14ac:dyDescent="0.55000000000000004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4">
        <f>'Resultater - Vestdanmark'!H253+'Resultater - Østdanmark'!H253</f>
        <v>-17555.516386431049</v>
      </c>
      <c r="I253" s="255">
        <f>'Resultater - Vestdanmark'!I253+'Resultater - Østdanmark'!I253</f>
        <v>-13088.594964438818</v>
      </c>
      <c r="J253" s="256">
        <f>'Resultater - Vestdanmark'!J253+'Resultater - Østdanmark'!J253</f>
        <v>-1421.7036306068987</v>
      </c>
    </row>
    <row r="254" spans="1:10" x14ac:dyDescent="0.55000000000000004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4">
        <f>'Resultater - Vestdanmark'!H254+'Resultater - Østdanmark'!H254</f>
        <v>2673.7376430017921</v>
      </c>
      <c r="I254" s="255">
        <f>'Resultater - Vestdanmark'!I254+'Resultater - Østdanmark'!I254</f>
        <v>1993.4172416296647</v>
      </c>
      <c r="J254" s="256">
        <f>'Resultater - Vestdanmark'!J254+'Resultater - Østdanmark'!J254</f>
        <v>216.5280946839045</v>
      </c>
    </row>
    <row r="255" spans="1:10" x14ac:dyDescent="0.55000000000000004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4">
        <f>'Resultater - Vestdanmark'!H255+'Resultater - Østdanmark'!H255</f>
        <v>7000.5878814400912</v>
      </c>
      <c r="I255" s="255">
        <f>'Resultater - Vestdanmark'!I255+'Resultater - Østdanmark'!I255</f>
        <v>5191.4122793345932</v>
      </c>
      <c r="J255" s="256">
        <f>'Resultater - Vestdanmark'!J255+'Resultater - Østdanmark'!J255</f>
        <v>0</v>
      </c>
    </row>
    <row r="256" spans="1:10" x14ac:dyDescent="0.55000000000000004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4">
        <f>'Resultater - Vestdanmark'!H256+'Resultater - Østdanmark'!H256</f>
        <v>-4615.5602634927654</v>
      </c>
      <c r="I256" s="255">
        <f>'Resultater - Vestdanmark'!I256+'Resultater - Østdanmark'!I256</f>
        <v>-3422.7520079322362</v>
      </c>
      <c r="J256" s="256">
        <f>'Resultater - Vestdanmark'!J256+'Resultater - Østdanmark'!J256</f>
        <v>0</v>
      </c>
    </row>
    <row r="257" spans="1:10" x14ac:dyDescent="0.55000000000000004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4">
        <f>'Resultater - Vestdanmark'!H257+'Resultater - Østdanmark'!H257</f>
        <v>2520.2001766035514</v>
      </c>
      <c r="I257" s="255">
        <f>'Resultater - Vestdanmark'!I257+'Resultater - Østdanmark'!I257</f>
        <v>1868.8999216605077</v>
      </c>
      <c r="J257" s="256">
        <f>'Resultater - Vestdanmark'!J257+'Resultater - Østdanmark'!J257</f>
        <v>0</v>
      </c>
    </row>
    <row r="258" spans="1:10" x14ac:dyDescent="0.55000000000000004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4">
        <f>'Resultater - Vestdanmark'!H258+'Resultater - Østdanmark'!H258</f>
        <v>175656.2317634254</v>
      </c>
      <c r="I258" s="255">
        <f>'Resultater - Vestdanmark'!I258+'Resultater - Østdanmark'!I258</f>
        <v>191888.43075647426</v>
      </c>
      <c r="J258" s="256">
        <f>'Resultater - Vestdanmark'!J258+'Resultater - Østdanmark'!J258</f>
        <v>0</v>
      </c>
    </row>
    <row r="259" spans="1:10" x14ac:dyDescent="0.55000000000000004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4">
        <f>'Resultater - Vestdanmark'!H259+'Resultater - Østdanmark'!H259</f>
        <v>-291846.18227409676</v>
      </c>
      <c r="I259" s="255">
        <f>'Resultater - Vestdanmark'!I259+'Resultater - Østdanmark'!I259</f>
        <v>-318815.36667749996</v>
      </c>
      <c r="J259" s="256">
        <f>'Resultater - Vestdanmark'!J259+'Resultater - Østdanmark'!J259</f>
        <v>0</v>
      </c>
    </row>
    <row r="260" spans="1:10" x14ac:dyDescent="0.55000000000000004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4">
        <f>'Resultater - Vestdanmark'!H260+'Resultater - Østdanmark'!H260</f>
        <v>8623.3790878329964</v>
      </c>
      <c r="I260" s="255">
        <f>'Resultater - Vestdanmark'!I260+'Resultater - Østdanmark'!I260</f>
        <v>9420.2560556522876</v>
      </c>
      <c r="J260" s="256">
        <f>'Resultater - Vestdanmark'!J260+'Resultater - Østdanmark'!J260</f>
        <v>0</v>
      </c>
    </row>
    <row r="261" spans="1:10" x14ac:dyDescent="0.55000000000000004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4">
        <f>'Resultater - Vestdanmark'!H261+'Resultater - Østdanmark'!H261</f>
        <v>1188.1289240510705</v>
      </c>
      <c r="I261" s="255">
        <f>'Resultater - Vestdanmark'!I261+'Resultater - Østdanmark'!I261</f>
        <v>1083.4256574662838</v>
      </c>
      <c r="J261" s="256">
        <f>'Resultater - Vestdanmark'!J261+'Resultater - Østdanmark'!J261</f>
        <v>159.62587433970708</v>
      </c>
    </row>
    <row r="262" spans="1:10" x14ac:dyDescent="0.55000000000000004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4">
        <f>'Resultater - Vestdanmark'!H262+'Resultater - Østdanmark'!H262</f>
        <v>-1279.4646982456652</v>
      </c>
      <c r="I262" s="255">
        <f>'Resultater - Vestdanmark'!I262+'Resultater - Østdanmark'!I262</f>
        <v>-1166.71251228804</v>
      </c>
      <c r="J262" s="256">
        <f>'Resultater - Vestdanmark'!J262+'Resultater - Østdanmark'!J262</f>
        <v>-171.8968935188341</v>
      </c>
    </row>
    <row r="263" spans="1:10" x14ac:dyDescent="0.55000000000000004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4">
        <f>'Resultater - Vestdanmark'!H263+'Resultater - Østdanmark'!H263</f>
        <v>341.86814383177432</v>
      </c>
      <c r="I263" s="255">
        <f>'Resultater - Vestdanmark'!I263+'Resultater - Østdanmark'!I263</f>
        <v>311.74118481589744</v>
      </c>
      <c r="J263" s="256">
        <f>'Resultater - Vestdanmark'!J263+'Resultater - Østdanmark'!J263</f>
        <v>45.930201902646409</v>
      </c>
    </row>
    <row r="264" spans="1:10" x14ac:dyDescent="0.55000000000000004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4">
        <f>'Resultater - Vestdanmark'!H264+'Resultater - Østdanmark'!H264</f>
        <v>510.210287416668</v>
      </c>
      <c r="I264" s="255">
        <f>'Resultater - Vestdanmark'!I264+'Resultater - Østdanmark'!I264</f>
        <v>462.7605697327906</v>
      </c>
      <c r="J264" s="256">
        <f>'Resultater - Vestdanmark'!J264+'Resultater - Østdanmark'!J264</f>
        <v>0</v>
      </c>
    </row>
    <row r="265" spans="1:10" x14ac:dyDescent="0.55000000000000004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4">
        <f>'Resultater - Vestdanmark'!H265+'Resultater - Østdanmark'!H265</f>
        <v>-336.38693899820993</v>
      </c>
      <c r="I265" s="255">
        <f>'Resultater - Vestdanmark'!I265+'Resultater - Østdanmark'!I265</f>
        <v>-305.10284755264939</v>
      </c>
      <c r="J265" s="256">
        <f>'Resultater - Vestdanmark'!J265+'Resultater - Østdanmark'!J265</f>
        <v>0</v>
      </c>
    </row>
    <row r="266" spans="1:10" x14ac:dyDescent="0.55000000000000004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4">
        <f>'Resultater - Vestdanmark'!H266+'Resultater - Østdanmark'!H266</f>
        <v>322.23661087879924</v>
      </c>
      <c r="I266" s="255">
        <f>'Resultater - Vestdanmark'!I266+'Resultater - Østdanmark'!I266</f>
        <v>292.26850441229493</v>
      </c>
      <c r="J266" s="256">
        <f>'Resultater - Vestdanmark'!J266+'Resultater - Østdanmark'!J266</f>
        <v>0</v>
      </c>
    </row>
    <row r="267" spans="1:10" x14ac:dyDescent="0.55000000000000004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4">
        <f>'Resultater - Vestdanmark'!H267+'Resultater - Østdanmark'!H267</f>
        <v>36988.210710055057</v>
      </c>
      <c r="I267" s="255">
        <f>'Resultater - Vestdanmark'!I267+'Resultater - Østdanmark'!I267</f>
        <v>33908.711235611481</v>
      </c>
      <c r="J267" s="256">
        <f>'Resultater - Vestdanmark'!J267+'Resultater - Østdanmark'!J267</f>
        <v>2100620.2196487864</v>
      </c>
    </row>
    <row r="268" spans="1:10" x14ac:dyDescent="0.55000000000000004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4">
        <f>'Resultater - Vestdanmark'!H268+'Resultater - Østdanmark'!H268</f>
        <v>-609935.15894083725</v>
      </c>
      <c r="I268" s="255">
        <f>'Resultater - Vestdanmark'!I268+'Resultater - Østdanmark'!I268</f>
        <v>-559154.24887934118</v>
      </c>
      <c r="J268" s="256">
        <f>'Resultater - Vestdanmark'!J268+'Resultater - Østdanmark'!J268</f>
        <v>-34639202.679720864</v>
      </c>
    </row>
    <row r="269" spans="1:10" x14ac:dyDescent="0.55000000000000004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4">
        <f>'Resultater - Vestdanmark'!H269+'Resultater - Østdanmark'!H269</f>
        <v>8563.900760438235</v>
      </c>
      <c r="I269" s="255">
        <f>'Resultater - Vestdanmark'!I269+'Resultater - Østdanmark'!I269</f>
        <v>7850.9025541263172</v>
      </c>
      <c r="J269" s="256">
        <f>'Resultater - Vestdanmark'!J269+'Resultater - Østdanmark'!J269</f>
        <v>486357.75429796119</v>
      </c>
    </row>
    <row r="270" spans="1:10" x14ac:dyDescent="0.55000000000000004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4">
        <f>'Resultater - Vestdanmark'!H270+'Resultater - Østdanmark'!H270</f>
        <v>1136.9217413253709</v>
      </c>
      <c r="I270" s="255">
        <f>'Resultater - Vestdanmark'!I270+'Resultater - Østdanmark'!I270</f>
        <v>846.80980687881834</v>
      </c>
      <c r="J270" s="256">
        <f>'Resultater - Vestdanmark'!J270+'Resultater - Østdanmark'!J270</f>
        <v>91.981804016712601</v>
      </c>
    </row>
    <row r="271" spans="1:10" x14ac:dyDescent="0.55000000000000004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4">
        <f>'Resultater - Vestdanmark'!H271+'Resultater - Østdanmark'!H271</f>
        <v>-15623.188435959159</v>
      </c>
      <c r="I271" s="255">
        <f>'Resultater - Vestdanmark'!I271+'Resultater - Østdanmark'!I271</f>
        <v>-11636.569784357534</v>
      </c>
      <c r="J271" s="256">
        <f>'Resultater - Vestdanmark'!J271+'Resultater - Østdanmark'!J271</f>
        <v>-1263.9823873517632</v>
      </c>
    </row>
    <row r="272" spans="1:10" x14ac:dyDescent="0.55000000000000004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4">
        <f>'Resultater - Vestdanmark'!H272+'Resultater - Østdanmark'!H272</f>
        <v>1189.7832867844982</v>
      </c>
      <c r="I272" s="255">
        <f>'Resultater - Vestdanmark'!I272+'Resultater - Østdanmark'!I272</f>
        <v>886.18250376240167</v>
      </c>
      <c r="J272" s="256">
        <f>'Resultater - Vestdanmark'!J272+'Resultater - Østdanmark'!J272</f>
        <v>96.258527855922296</v>
      </c>
    </row>
    <row r="273" spans="1:10" x14ac:dyDescent="0.55000000000000004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4">
        <f>'Resultater - Vestdanmark'!H273+'Resultater - Østdanmark'!H273</f>
        <v>769.15923740920027</v>
      </c>
      <c r="I273" s="255">
        <f>'Resultater - Vestdanmark'!I273+'Resultater - Østdanmark'!I273</f>
        <v>560.90094969276902</v>
      </c>
      <c r="J273" s="256">
        <f>'Resultater - Vestdanmark'!J273+'Resultater - Østdanmark'!J273</f>
        <v>0</v>
      </c>
    </row>
    <row r="274" spans="1:10" x14ac:dyDescent="0.55000000000000004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4">
        <f>'Resultater - Vestdanmark'!H274+'Resultater - Østdanmark'!H274</f>
        <v>-9059.5905466336899</v>
      </c>
      <c r="I274" s="255">
        <f>'Resultater - Vestdanmark'!I274+'Resultater - Østdanmark'!I274</f>
        <v>-6606.607181304701</v>
      </c>
      <c r="J274" s="256">
        <f>'Resultater - Vestdanmark'!J274+'Resultater - Østdanmark'!J274</f>
        <v>0</v>
      </c>
    </row>
    <row r="275" spans="1:10" x14ac:dyDescent="0.55000000000000004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4">
        <f>'Resultater - Vestdanmark'!H275+'Resultater - Østdanmark'!H275</f>
        <v>1844.3834346765289</v>
      </c>
      <c r="I275" s="255">
        <f>'Resultater - Vestdanmark'!I275+'Resultater - Østdanmark'!I275</f>
        <v>1344.9964191970087</v>
      </c>
      <c r="J275" s="256">
        <f>'Resultater - Vestdanmark'!J275+'Resultater - Østdanmark'!J275</f>
        <v>0</v>
      </c>
    </row>
    <row r="276" spans="1:10" x14ac:dyDescent="0.55000000000000004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4">
        <f>'Resultater - Vestdanmark'!H276+'Resultater - Østdanmark'!H276</f>
        <v>2695.7401202602077</v>
      </c>
      <c r="I276" s="255">
        <f>'Resultater - Vestdanmark'!I276+'Resultater - Østdanmark'!I276</f>
        <v>3022.609973158887</v>
      </c>
      <c r="J276" s="256">
        <f>'Resultater - Vestdanmark'!J276+'Resultater - Østdanmark'!J276</f>
        <v>253984.08110298964</v>
      </c>
    </row>
    <row r="277" spans="1:10" x14ac:dyDescent="0.55000000000000004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4">
        <f>'Resultater - Vestdanmark'!H277+'Resultater - Østdanmark'!H277</f>
        <v>-44452.722831145948</v>
      </c>
      <c r="I277" s="255">
        <f>'Resultater - Vestdanmark'!I277+'Resultater - Østdanmark'!I277</f>
        <v>-49842.802855388007</v>
      </c>
      <c r="J277" s="256">
        <f>'Resultater - Vestdanmark'!J277+'Resultater - Østdanmark'!J277</f>
        <v>-4188194.505820795</v>
      </c>
    </row>
    <row r="278" spans="1:10" x14ac:dyDescent="0.55000000000000004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4">
        <f>'Resultater - Vestdanmark'!H278+'Resultater - Østdanmark'!H278</f>
        <v>1094.9933194057135</v>
      </c>
      <c r="I278" s="255">
        <f>'Resultater - Vestdanmark'!I278+'Resultater - Østdanmark'!I278</f>
        <v>1227.7658750942912</v>
      </c>
      <c r="J278" s="256">
        <f>'Resultater - Vestdanmark'!J278+'Resultater - Østdanmark'!J278</f>
        <v>103166.79636623421</v>
      </c>
    </row>
    <row r="279" spans="1:10" x14ac:dyDescent="0.55000000000000004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4">
        <f>'Resultater - Vestdanmark'!H279+'Resultater - Østdanmark'!H279</f>
        <v>82.860065216772895</v>
      </c>
      <c r="I279" s="255">
        <f>'Resultater - Vestdanmark'!I279+'Resultater - Østdanmark'!I279</f>
        <v>75.484312861544524</v>
      </c>
      <c r="J279" s="256">
        <f>'Resultater - Vestdanmark'!J279+'Resultater - Østdanmark'!J279</f>
        <v>11.121436303838887</v>
      </c>
    </row>
    <row r="280" spans="1:10" x14ac:dyDescent="0.55000000000000004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4">
        <f>'Resultater - Vestdanmark'!H280+'Resultater - Østdanmark'!H280</f>
        <v>-1138.6345828767378</v>
      </c>
      <c r="I280" s="255">
        <f>'Resultater - Vestdanmark'!I280+'Resultater - Østdanmark'!I280</f>
        <v>-1037.2795249917779</v>
      </c>
      <c r="J280" s="256">
        <f>'Resultater - Vestdanmark'!J280+'Resultater - Østdanmark'!J280</f>
        <v>-152.82696137980412</v>
      </c>
    </row>
    <row r="281" spans="1:10" x14ac:dyDescent="0.55000000000000004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4">
        <f>'Resultater - Vestdanmark'!H281+'Resultater - Østdanmark'!H281</f>
        <v>152.12749271780797</v>
      </c>
      <c r="I281" s="255">
        <f>'Resultater - Vestdanmark'!I281+'Resultater - Østdanmark'!I281</f>
        <v>138.58593069063701</v>
      </c>
      <c r="J281" s="256">
        <f>'Resultater - Vestdanmark'!J281+'Resultater - Østdanmark'!J281</f>
        <v>20.418475605801699</v>
      </c>
    </row>
    <row r="282" spans="1:10" x14ac:dyDescent="0.55000000000000004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4">
        <f>'Resultater - Vestdanmark'!H282+'Resultater - Østdanmark'!H282</f>
        <v>56.05714294768709</v>
      </c>
      <c r="I282" s="255">
        <f>'Resultater - Vestdanmark'!I282+'Resultater - Østdanmark'!I282</f>
        <v>49.998503119609396</v>
      </c>
      <c r="J282" s="256">
        <f>'Resultater - Vestdanmark'!J282+'Resultater - Østdanmark'!J282</f>
        <v>0</v>
      </c>
    </row>
    <row r="283" spans="1:10" x14ac:dyDescent="0.55000000000000004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4">
        <f>'Resultater - Vestdanmark'!H283+'Resultater - Østdanmark'!H283</f>
        <v>-660.27259066769261</v>
      </c>
      <c r="I283" s="255">
        <f>'Resultater - Vestdanmark'!I283+'Resultater - Østdanmark'!I283</f>
        <v>-588.91051966559962</v>
      </c>
      <c r="J283" s="256">
        <f>'Resultater - Vestdanmark'!J283+'Resultater - Østdanmark'!J283</f>
        <v>0</v>
      </c>
    </row>
    <row r="284" spans="1:10" x14ac:dyDescent="0.55000000000000004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4">
        <f>'Resultater - Vestdanmark'!H284+'Resultater - Østdanmark'!H284</f>
        <v>235.82565887767433</v>
      </c>
      <c r="I284" s="255">
        <f>'Resultater - Vestdanmark'!I284+'Resultater - Østdanmark'!I284</f>
        <v>210.33768974067618</v>
      </c>
      <c r="J284" s="256">
        <f>'Resultater - Vestdanmark'!J284+'Resultater - Østdanmark'!J284</f>
        <v>0</v>
      </c>
    </row>
    <row r="285" spans="1:10" x14ac:dyDescent="0.55000000000000004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4">
        <f>'Resultater - Vestdanmark'!H285+'Resultater - Østdanmark'!H285</f>
        <v>1770707.1441729828</v>
      </c>
      <c r="I285" s="255">
        <f>'Resultater - Vestdanmark'!I285+'Resultater - Østdanmark'!I285</f>
        <v>1639440.1827934289</v>
      </c>
      <c r="J285" s="256">
        <f>'Resultater - Vestdanmark'!J285+'Resultater - Østdanmark'!J285</f>
        <v>0</v>
      </c>
    </row>
    <row r="286" spans="1:10" x14ac:dyDescent="0.55000000000000004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4">
        <f>'Resultater - Vestdanmark'!H286+'Resultater - Østdanmark'!H286</f>
        <v>-8443698.8320951127</v>
      </c>
      <c r="I286" s="255">
        <f>'Resultater - Vestdanmark'!I286+'Resultater - Østdanmark'!I286</f>
        <v>-7817746.2615976986</v>
      </c>
      <c r="J286" s="256">
        <f>'Resultater - Vestdanmark'!J286+'Resultater - Østdanmark'!J286</f>
        <v>0</v>
      </c>
    </row>
    <row r="287" spans="1:10" x14ac:dyDescent="0.55000000000000004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4">
        <f>'Resultater - Vestdanmark'!H287+'Resultater - Østdanmark'!H287</f>
        <v>135120.63677615169</v>
      </c>
      <c r="I287" s="255">
        <f>'Resultater - Vestdanmark'!I287+'Resultater - Østdanmark'!I287</f>
        <v>125103.80510093985</v>
      </c>
      <c r="J287" s="256">
        <f>'Resultater - Vestdanmark'!J287+'Resultater - Østdanmark'!J287</f>
        <v>0</v>
      </c>
    </row>
    <row r="288" spans="1:10" x14ac:dyDescent="0.55000000000000004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4">
        <f>'Resultater - Vestdanmark'!H288+'Resultater - Østdanmark'!H288</f>
        <v>59290.041004910265</v>
      </c>
      <c r="I288" s="255">
        <f>'Resultater - Vestdanmark'!I288+'Resultater - Østdanmark'!I288</f>
        <v>44149.02918582072</v>
      </c>
      <c r="J288" s="256">
        <f>'Resultater - Vestdanmark'!J288+'Resultater - Østdanmark'!J288</f>
        <v>4795.5365149419176</v>
      </c>
    </row>
    <row r="289" spans="1:10" x14ac:dyDescent="0.55000000000000004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4">
        <f>'Resultater - Vestdanmark'!H289+'Resultater - Østdanmark'!H289</f>
        <v>-207278.07918935828</v>
      </c>
      <c r="I289" s="255">
        <f>'Resultater - Vestdanmark'!I289+'Resultater - Østdanmark'!I289</f>
        <v>-154345.07739594852</v>
      </c>
      <c r="J289" s="256">
        <f>'Resultater - Vestdanmark'!J289+'Resultater - Østdanmark'!J289</f>
        <v>-16765.20340772354</v>
      </c>
    </row>
    <row r="290" spans="1:10" x14ac:dyDescent="0.55000000000000004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4">
        <f>'Resultater - Vestdanmark'!H290+'Resultater - Østdanmark'!H290</f>
        <v>26517.821531805323</v>
      </c>
      <c r="I290" s="255">
        <f>'Resultater - Vestdanmark'!I290+'Resultater - Østdanmark'!I290</f>
        <v>19745.914438735177</v>
      </c>
      <c r="J290" s="256">
        <f>'Resultater - Vestdanmark'!J290+'Resultater - Østdanmark'!J290</f>
        <v>2144.8320712403242</v>
      </c>
    </row>
    <row r="291" spans="1:10" x14ac:dyDescent="0.55000000000000004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4">
        <f>'Resultater - Vestdanmark'!H291+'Resultater - Østdanmark'!H291</f>
        <v>39797.443271560704</v>
      </c>
      <c r="I291" s="255">
        <f>'Resultater - Vestdanmark'!I291+'Resultater - Østdanmark'!I291</f>
        <v>28882.91906607397</v>
      </c>
      <c r="J291" s="256">
        <f>'Resultater - Vestdanmark'!J291+'Resultater - Østdanmark'!J291</f>
        <v>0</v>
      </c>
    </row>
    <row r="292" spans="1:10" x14ac:dyDescent="0.55000000000000004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4">
        <f>'Resultater - Vestdanmark'!H292+'Resultater - Østdanmark'!H292</f>
        <v>-102957.62524429863</v>
      </c>
      <c r="I292" s="255">
        <f>'Resultater - Vestdanmark'!I292+'Resultater - Østdanmark'!I292</f>
        <v>-74721.301488512268</v>
      </c>
      <c r="J292" s="256">
        <f>'Resultater - Vestdanmark'!J292+'Resultater - Østdanmark'!J292</f>
        <v>0</v>
      </c>
    </row>
    <row r="293" spans="1:10" x14ac:dyDescent="0.55000000000000004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4">
        <f>'Resultater - Vestdanmark'!H293+'Resultater - Østdanmark'!H293</f>
        <v>39069.861329482206</v>
      </c>
      <c r="I293" s="255">
        <f>'Resultater - Vestdanmark'!I293+'Resultater - Østdanmark'!I293</f>
        <v>28354.877849868324</v>
      </c>
      <c r="J293" s="256">
        <f>'Resultater - Vestdanmark'!J293+'Resultater - Østdanmark'!J293</f>
        <v>0</v>
      </c>
    </row>
    <row r="294" spans="1:10" x14ac:dyDescent="0.55000000000000004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4">
        <f>'Resultater - Vestdanmark'!H294+'Resultater - Østdanmark'!H294</f>
        <v>129051.01918003485</v>
      </c>
      <c r="I294" s="255">
        <f>'Resultater - Vestdanmark'!I294+'Resultater - Østdanmark'!I294</f>
        <v>146139.09129358528</v>
      </c>
      <c r="J294" s="256">
        <f>'Resultater - Vestdanmark'!J294+'Resultater - Østdanmark'!J294</f>
        <v>0</v>
      </c>
    </row>
    <row r="295" spans="1:10" x14ac:dyDescent="0.55000000000000004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4">
        <f>'Resultater - Vestdanmark'!H295+'Resultater - Østdanmark'!H295</f>
        <v>-615385.74773192033</v>
      </c>
      <c r="I295" s="255">
        <f>'Resultater - Vestdanmark'!I295+'Resultater - Østdanmark'!I295</f>
        <v>-696871.00915572979</v>
      </c>
      <c r="J295" s="256">
        <f>'Resultater - Vestdanmark'!J295+'Resultater - Østdanmark'!J295</f>
        <v>0</v>
      </c>
    </row>
    <row r="296" spans="1:10" x14ac:dyDescent="0.55000000000000004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4">
        <f>'Resultater - Vestdanmark'!H296+'Resultater - Østdanmark'!H296</f>
        <v>17276.729229188404</v>
      </c>
      <c r="I296" s="255">
        <f>'Resultater - Vestdanmark'!I296+'Resultater - Østdanmark'!I296</f>
        <v>19564.398066137266</v>
      </c>
      <c r="J296" s="256">
        <f>'Resultater - Vestdanmark'!J296+'Resultater - Østdanmark'!J296</f>
        <v>0</v>
      </c>
    </row>
    <row r="297" spans="1:10" x14ac:dyDescent="0.55000000000000004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4">
        <f>'Resultater - Vestdanmark'!H297+'Resultater - Østdanmark'!H297</f>
        <v>4321.1212221563428</v>
      </c>
      <c r="I297" s="255">
        <f>'Resultater - Vestdanmark'!I297+'Resultater - Østdanmark'!I297</f>
        <v>3935.4281262744676</v>
      </c>
      <c r="J297" s="256">
        <f>'Resultater - Vestdanmark'!J297+'Resultater - Østdanmark'!J297</f>
        <v>579.8239604429773</v>
      </c>
    </row>
    <row r="298" spans="1:10" x14ac:dyDescent="0.55000000000000004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4">
        <f>'Resultater - Vestdanmark'!H298+'Resultater - Østdanmark'!H298</f>
        <v>-15106.646777302138</v>
      </c>
      <c r="I298" s="255">
        <f>'Resultater - Vestdanmark'!I298+'Resultater - Østdanmark'!I298</f>
        <v>-13758.263090666276</v>
      </c>
      <c r="J298" s="256">
        <f>'Resultater - Vestdanmark'!J298+'Resultater - Østdanmark'!J298</f>
        <v>-2027.0655029338463</v>
      </c>
    </row>
    <row r="299" spans="1:10" x14ac:dyDescent="0.55000000000000004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4">
        <f>'Resultater - Vestdanmark'!H299+'Resultater - Østdanmark'!H299</f>
        <v>3390.6088165638589</v>
      </c>
      <c r="I299" s="255">
        <f>'Resultater - Vestdanmark'!I299+'Resultater - Østdanmark'!I299</f>
        <v>3087.971064889698</v>
      </c>
      <c r="J299" s="256">
        <f>'Resultater - Vestdanmark'!J299+'Resultater - Østdanmark'!J299</f>
        <v>454.96437874794765</v>
      </c>
    </row>
    <row r="300" spans="1:10" x14ac:dyDescent="0.55000000000000004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4">
        <f>'Resultater - Vestdanmark'!H300+'Resultater - Østdanmark'!H300</f>
        <v>2900.4799759551861</v>
      </c>
      <c r="I300" s="255">
        <f>'Resultater - Vestdanmark'!I300+'Resultater - Østdanmark'!I300</f>
        <v>2574.612718733184</v>
      </c>
      <c r="J300" s="256">
        <f>'Resultater - Vestdanmark'!J300+'Resultater - Østdanmark'!J300</f>
        <v>0</v>
      </c>
    </row>
    <row r="301" spans="1:10" x14ac:dyDescent="0.55000000000000004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4">
        <f>'Resultater - Vestdanmark'!H301+'Resultater - Østdanmark'!H301</f>
        <v>-7503.6611863552844</v>
      </c>
      <c r="I301" s="255">
        <f>'Resultater - Vestdanmark'!I301+'Resultater - Østdanmark'!I301</f>
        <v>-6660.6291674510539</v>
      </c>
      <c r="J301" s="256">
        <f>'Resultater - Vestdanmark'!J301+'Resultater - Østdanmark'!J301</f>
        <v>0</v>
      </c>
    </row>
    <row r="302" spans="1:10" x14ac:dyDescent="0.55000000000000004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4">
        <f>'Resultater - Vestdanmark'!H302+'Resultater - Østdanmark'!H302</f>
        <v>4995.5316324451924</v>
      </c>
      <c r="I302" s="255">
        <f>'Resultater - Vestdanmark'!I302+'Resultater - Østdanmark'!I302</f>
        <v>4434.2865264883512</v>
      </c>
      <c r="J302" s="256">
        <f>'Resultater - Vestdanmark'!J302+'Resultater - Østdanmark'!J302</f>
        <v>0</v>
      </c>
    </row>
    <row r="303" spans="1:10" x14ac:dyDescent="0.55000000000000004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4">
        <f>'Resultater - Vestdanmark'!H303+'Resultater - Østdanmark'!H303</f>
        <v>6824552.1371091604</v>
      </c>
      <c r="I303" s="255">
        <f>'Resultater - Vestdanmark'!I303+'Resultater - Østdanmark'!I303</f>
        <v>4903568.3857066678</v>
      </c>
      <c r="J303" s="256">
        <f>'Resultater - Vestdanmark'!J303+'Resultater - Østdanmark'!J303</f>
        <v>0</v>
      </c>
    </row>
    <row r="304" spans="1:10" x14ac:dyDescent="0.55000000000000004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4">
        <f>'Resultater - Vestdanmark'!H304+'Resultater - Østdanmark'!H304</f>
        <v>-24532202.694618411</v>
      </c>
      <c r="I304" s="255">
        <f>'Resultater - Vestdanmark'!I304+'Resultater - Østdanmark'!I304</f>
        <v>-17626846.589824013</v>
      </c>
      <c r="J304" s="256">
        <f>'Resultater - Vestdanmark'!J304+'Resultater - Østdanmark'!J304</f>
        <v>0</v>
      </c>
    </row>
    <row r="305" spans="1:10" x14ac:dyDescent="0.55000000000000004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4">
        <f>'Resultater - Vestdanmark'!H305+'Resultater - Østdanmark'!H305</f>
        <v>348617.06930478453</v>
      </c>
      <c r="I305" s="255">
        <f>'Resultater - Vestdanmark'!I305+'Resultater - Østdanmark'!I305</f>
        <v>250487.88629883222</v>
      </c>
      <c r="J305" s="256">
        <f>'Resultater - Vestdanmark'!J305+'Resultater - Østdanmark'!J305</f>
        <v>0</v>
      </c>
    </row>
    <row r="306" spans="1:10" x14ac:dyDescent="0.55000000000000004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4">
        <f>'Resultater - Vestdanmark'!H306+'Resultater - Østdanmark'!H306</f>
        <v>263505.94367690803</v>
      </c>
      <c r="I306" s="255">
        <f>'Resultater - Vestdanmark'!I306+'Resultater - Østdanmark'!I306</f>
        <v>196176.04937543895</v>
      </c>
      <c r="J306" s="256">
        <f>'Resultater - Vestdanmark'!J306+'Resultater - Østdanmark'!J306</f>
        <v>21308.948927898775</v>
      </c>
    </row>
    <row r="307" spans="1:10" x14ac:dyDescent="0.55000000000000004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4">
        <f>'Resultater - Vestdanmark'!H307+'Resultater - Østdanmark'!H307</f>
        <v>-641349.74683588033</v>
      </c>
      <c r="I307" s="255">
        <f>'Resultater - Vestdanmark'!I307+'Resultater - Østdanmark'!I307</f>
        <v>-477474.84495632187</v>
      </c>
      <c r="J307" s="256">
        <f>'Resultater - Vestdanmark'!J307+'Resultater - Østdanmark'!J307</f>
        <v>-51864.063518064118</v>
      </c>
    </row>
    <row r="308" spans="1:10" x14ac:dyDescent="0.55000000000000004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4">
        <f>'Resultater - Vestdanmark'!H308+'Resultater - Østdanmark'!H308</f>
        <v>78894.37795433517</v>
      </c>
      <c r="I308" s="255">
        <f>'Resultater - Vestdanmark'!I308+'Resultater - Østdanmark'!I308</f>
        <v>58735.629143876962</v>
      </c>
      <c r="J308" s="256">
        <f>'Resultater - Vestdanmark'!J308+'Resultater - Østdanmark'!J308</f>
        <v>6379.9557879748772</v>
      </c>
    </row>
    <row r="309" spans="1:10" x14ac:dyDescent="0.55000000000000004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4">
        <f>'Resultater - Vestdanmark'!H309+'Resultater - Østdanmark'!H309</f>
        <v>104547.38485235954</v>
      </c>
      <c r="I309" s="255">
        <f>'Resultater - Vestdanmark'!I309+'Resultater - Østdanmark'!I309</f>
        <v>75607.510992914336</v>
      </c>
      <c r="J309" s="256">
        <f>'Resultater - Vestdanmark'!J309+'Resultater - Østdanmark'!J309</f>
        <v>0</v>
      </c>
    </row>
    <row r="310" spans="1:10" x14ac:dyDescent="0.55000000000000004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4">
        <f>'Resultater - Vestdanmark'!H310+'Resultater - Østdanmark'!H310</f>
        <v>-167775.11450454078</v>
      </c>
      <c r="I310" s="255">
        <f>'Resultater - Vestdanmark'!I310+'Resultater - Østdanmark'!I310</f>
        <v>-121333.10490887173</v>
      </c>
      <c r="J310" s="256">
        <f>'Resultater - Vestdanmark'!J310+'Resultater - Østdanmark'!J310</f>
        <v>0</v>
      </c>
    </row>
    <row r="311" spans="1:10" x14ac:dyDescent="0.55000000000000004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4">
        <f>'Resultater - Vestdanmark'!H311+'Resultater - Østdanmark'!H311</f>
        <v>68706.752116598291</v>
      </c>
      <c r="I311" s="255">
        <f>'Resultater - Vestdanmark'!I311+'Resultater - Østdanmark'!I311</f>
        <v>49687.962288861643</v>
      </c>
      <c r="J311" s="256">
        <f>'Resultater - Vestdanmark'!J311+'Resultater - Østdanmark'!J311</f>
        <v>0</v>
      </c>
    </row>
    <row r="312" spans="1:10" x14ac:dyDescent="0.55000000000000004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4">
        <f>'Resultater - Vestdanmark'!H312+'Resultater - Østdanmark'!H312</f>
        <v>724255.98356433213</v>
      </c>
      <c r="I312" s="255">
        <f>'Resultater - Vestdanmark'!I312+'Resultater - Østdanmark'!I312</f>
        <v>636482.25507626566</v>
      </c>
      <c r="J312" s="256">
        <f>'Resultater - Vestdanmark'!J312+'Resultater - Østdanmark'!J312</f>
        <v>0</v>
      </c>
    </row>
    <row r="313" spans="1:10" x14ac:dyDescent="0.55000000000000004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4">
        <f>'Resultater - Vestdanmark'!H313+'Resultater - Østdanmark'!H313</f>
        <v>-2603481.405758102</v>
      </c>
      <c r="I313" s="255">
        <f>'Resultater - Vestdanmark'!I313+'Resultater - Østdanmark'!I313</f>
        <v>-2287961.3752460685</v>
      </c>
      <c r="J313" s="256">
        <f>'Resultater - Vestdanmark'!J313+'Resultater - Østdanmark'!J313</f>
        <v>0</v>
      </c>
    </row>
    <row r="314" spans="1:10" x14ac:dyDescent="0.55000000000000004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4">
        <f>'Resultater - Vestdanmark'!H314+'Resultater - Østdanmark'!H314</f>
        <v>44574.706386485894</v>
      </c>
      <c r="I314" s="255">
        <f>'Resultater - Vestdanmark'!I314+'Resultater - Østdanmark'!I314</f>
        <v>39172.627198202368</v>
      </c>
      <c r="J314" s="256">
        <f>'Resultater - Vestdanmark'!J314+'Resultater - Østdanmark'!J314</f>
        <v>0</v>
      </c>
    </row>
    <row r="315" spans="1:10" x14ac:dyDescent="0.55000000000000004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4">
        <f>'Resultater - Vestdanmark'!H315+'Resultater - Østdanmark'!H315</f>
        <v>27964.583254485577</v>
      </c>
      <c r="I315" s="255">
        <f>'Resultater - Vestdanmark'!I315+'Resultater - Østdanmark'!I315</f>
        <v>25463.61434713384</v>
      </c>
      <c r="J315" s="256">
        <f>'Resultater - Vestdanmark'!J315+'Resultater - Østdanmark'!J315</f>
        <v>3751.6664627603595</v>
      </c>
    </row>
    <row r="316" spans="1:10" x14ac:dyDescent="0.55000000000000004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4">
        <f>'Resultater - Vestdanmark'!H316+'Resultater - Østdanmark'!H316</f>
        <v>-68063.278347246393</v>
      </c>
      <c r="I316" s="255">
        <f>'Resultater - Vestdanmark'!I316+'Resultater - Østdanmark'!I316</f>
        <v>-61976.145157032108</v>
      </c>
      <c r="J316" s="256">
        <f>'Resultater - Vestdanmark'!J316+'Resultater - Østdanmark'!J316</f>
        <v>-9131.2184557561341</v>
      </c>
    </row>
    <row r="317" spans="1:10" x14ac:dyDescent="0.55000000000000004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4">
        <f>'Resultater - Vestdanmark'!H317+'Resultater - Østdanmark'!H317</f>
        <v>10087.55463371877</v>
      </c>
      <c r="I317" s="255">
        <f>'Resultater - Vestdanmark'!I317+'Resultater - Østdanmark'!I317</f>
        <v>9185.3899112712861</v>
      </c>
      <c r="J317" s="256">
        <f>'Resultater - Vestdanmark'!J317+'Resultater - Østdanmark'!J317</f>
        <v>1353.3239550249739</v>
      </c>
    </row>
    <row r="318" spans="1:10" x14ac:dyDescent="0.55000000000000004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4">
        <f>'Resultater - Vestdanmark'!H318+'Resultater - Østdanmark'!H318</f>
        <v>11095.097161555068</v>
      </c>
      <c r="I318" s="255">
        <f>'Resultater - Vestdanmark'!I318+'Resultater - Østdanmark'!I318</f>
        <v>9813.8407201062328</v>
      </c>
      <c r="J318" s="256">
        <f>'Resultater - Vestdanmark'!J318+'Resultater - Østdanmark'!J318</f>
        <v>0</v>
      </c>
    </row>
    <row r="319" spans="1:10" x14ac:dyDescent="0.55000000000000004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4">
        <f>'Resultater - Vestdanmark'!H319+'Resultater - Østdanmark'!H319</f>
        <v>-17805.143565739752</v>
      </c>
      <c r="I319" s="255">
        <f>'Resultater - Vestdanmark'!I319+'Resultater - Østdanmark'!I319</f>
        <v>-15749.014218484181</v>
      </c>
      <c r="J319" s="256">
        <f>'Resultater - Vestdanmark'!J319+'Resultater - Østdanmark'!J319</f>
        <v>0</v>
      </c>
    </row>
    <row r="320" spans="1:10" x14ac:dyDescent="0.55000000000000004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4">
        <f>'Resultater - Vestdanmark'!H320+'Resultater - Østdanmark'!H320</f>
        <v>8784.9493671490909</v>
      </c>
      <c r="I320" s="255">
        <f>'Resultater - Vestdanmark'!I320+'Resultater - Østdanmark'!I320</f>
        <v>7770.4676730668307</v>
      </c>
      <c r="J320" s="256">
        <f>'Resultater - Vestdanmark'!J320+'Resultater - Østdanmark'!J320</f>
        <v>0</v>
      </c>
    </row>
    <row r="321" spans="1:10" x14ac:dyDescent="0.55000000000000004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4">
        <f>'Resultater - Vestdanmark'!H321+'Resultater - Østdanmark'!H321</f>
        <v>613620.0150142312</v>
      </c>
      <c r="I321" s="255">
        <f>'Resultater - Vestdanmark'!I321+'Resultater - Østdanmark'!I321</f>
        <v>565496.44567098573</v>
      </c>
      <c r="J321" s="256">
        <f>'Resultater - Vestdanmark'!J321+'Resultater - Østdanmark'!J321</f>
        <v>1170640.1519999998</v>
      </c>
    </row>
    <row r="322" spans="1:10" x14ac:dyDescent="0.55000000000000004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4">
        <f>'Resultater - Vestdanmark'!H322+'Resultater - Østdanmark'!H322</f>
        <v>327737.51811917598</v>
      </c>
      <c r="I322" s="255">
        <f>'Resultater - Vestdanmark'!I322+'Resultater - Østdanmark'!I322</f>
        <v>317454.29614554998</v>
      </c>
      <c r="J322" s="256">
        <f>'Resultater - Vestdanmark'!J322+'Resultater - Østdanmark'!J322</f>
        <v>714851.40881879965</v>
      </c>
    </row>
    <row r="323" spans="1:10" x14ac:dyDescent="0.55000000000000004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4">
        <f>'Resultater - Vestdanmark'!H323+'Resultater - Østdanmark'!H323</f>
        <v>-24405341.506247833</v>
      </c>
      <c r="I323" s="255">
        <f>'Resultater - Vestdanmark'!I323+'Resultater - Østdanmark'!I323</f>
        <v>-22491335.907368749</v>
      </c>
      <c r="J323" s="256">
        <f>'Resultater - Vestdanmark'!J323+'Resultater - Østdanmark'!J323</f>
        <v>-46559551.499999985</v>
      </c>
    </row>
    <row r="324" spans="1:10" x14ac:dyDescent="0.55000000000000004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4">
        <f>'Resultater - Vestdanmark'!H324+'Resultater - Østdanmark'!H324</f>
        <v>317087.35725322756</v>
      </c>
      <c r="I324" s="255">
        <f>'Resultater - Vestdanmark'!I324+'Resultater - Østdanmark'!I324</f>
        <v>292219.56439890183</v>
      </c>
      <c r="J324" s="256">
        <f>'Resultater - Vestdanmark'!J324+'Resultater - Østdanmark'!J324</f>
        <v>604926.79998970975</v>
      </c>
    </row>
    <row r="325" spans="1:10" x14ac:dyDescent="0.55000000000000004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4">
        <f>'Resultater - Vestdanmark'!H325+'Resultater - Østdanmark'!H325</f>
        <v>13566.838006498305</v>
      </c>
      <c r="I325" s="255">
        <f>'Resultater - Vestdanmark'!I325+'Resultater - Østdanmark'!I325</f>
        <v>10103.459942572286</v>
      </c>
      <c r="J325" s="256">
        <f>'Resultater - Vestdanmark'!J325+'Resultater - Østdanmark'!J325</f>
        <v>1097.4536014807652</v>
      </c>
    </row>
    <row r="326" spans="1:10" x14ac:dyDescent="0.55000000000000004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4">
        <f>'Resultater - Vestdanmark'!H326+'Resultater - Østdanmark'!H326</f>
        <v>7246.116013460778</v>
      </c>
      <c r="I326" s="255">
        <f>'Resultater - Vestdanmark'!I326+'Resultater - Østdanmark'!I326</f>
        <v>5671.8071161319895</v>
      </c>
      <c r="J326" s="256">
        <f>'Resultater - Vestdanmark'!J326+'Resultater - Østdanmark'!J326</f>
        <v>670.16004174422915</v>
      </c>
    </row>
    <row r="327" spans="1:10" x14ac:dyDescent="0.55000000000000004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4">
        <f>'Resultater - Vestdanmark'!H327+'Resultater - Østdanmark'!H327</f>
        <v>-372574.14979966939</v>
      </c>
      <c r="I327" s="255">
        <f>'Resultater - Vestdanmark'!I327+'Resultater - Østdanmark'!I327</f>
        <v>-277462.44160473131</v>
      </c>
      <c r="J327" s="256">
        <f>'Resultater - Vestdanmark'!J327+'Resultater - Østdanmark'!J327</f>
        <v>-30138.403828543742</v>
      </c>
    </row>
    <row r="328" spans="1:10" x14ac:dyDescent="0.55000000000000004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4">
        <f>'Resultater - Vestdanmark'!H328+'Resultater - Østdanmark'!H328</f>
        <v>41090.289191876247</v>
      </c>
      <c r="I328" s="255">
        <f>'Resultater - Vestdanmark'!I328+'Resultater - Østdanmark'!I328</f>
        <v>30600.652169649278</v>
      </c>
      <c r="J328" s="256">
        <f>'Resultater - Vestdanmark'!J328+'Resultater - Østdanmark'!J328</f>
        <v>3323.8906396546568</v>
      </c>
    </row>
    <row r="329" spans="1:10" x14ac:dyDescent="0.55000000000000004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4">
        <f>'Resultater - Vestdanmark'!H329+'Resultater - Østdanmark'!H329</f>
        <v>6570.1536799285823</v>
      </c>
      <c r="I329" s="255">
        <f>'Resultater - Vestdanmark'!I329+'Resultater - Østdanmark'!I329</f>
        <v>4778.6262470911042</v>
      </c>
      <c r="J329" s="256">
        <f>'Resultater - Vestdanmark'!J329+'Resultater - Østdanmark'!J329</f>
        <v>0</v>
      </c>
    </row>
    <row r="330" spans="1:10" x14ac:dyDescent="0.55000000000000004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4">
        <f>'Resultater - Vestdanmark'!H330+'Resultater - Østdanmark'!H330</f>
        <v>3509.1519312182554</v>
      </c>
      <c r="I330" s="255">
        <f>'Resultater - Vestdanmark'!I330+'Resultater - Østdanmark'!I330</f>
        <v>2682.5905687399636</v>
      </c>
      <c r="J330" s="256">
        <f>'Resultater - Vestdanmark'!J330+'Resultater - Østdanmark'!J330</f>
        <v>0</v>
      </c>
    </row>
    <row r="331" spans="1:10" x14ac:dyDescent="0.55000000000000004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4">
        <f>'Resultater - Vestdanmark'!H331+'Resultater - Østdanmark'!H331</f>
        <v>-122657.08980386153</v>
      </c>
      <c r="I331" s="255">
        <f>'Resultater - Vestdanmark'!I331+'Resultater - Østdanmark'!I331</f>
        <v>-89211.366625889117</v>
      </c>
      <c r="J331" s="256">
        <f>'Resultater - Vestdanmark'!J331+'Resultater - Østdanmark'!J331</f>
        <v>0</v>
      </c>
    </row>
    <row r="332" spans="1:10" x14ac:dyDescent="0.55000000000000004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4">
        <f>'Resultater - Vestdanmark'!H332+'Resultater - Østdanmark'!H332</f>
        <v>43678.396988286549</v>
      </c>
      <c r="I332" s="255">
        <f>'Resultater - Vestdanmark'!I332+'Resultater - Østdanmark'!I332</f>
        <v>31768.318436253074</v>
      </c>
      <c r="J332" s="256">
        <f>'Resultater - Vestdanmark'!J332+'Resultater - Østdanmark'!J332</f>
        <v>0</v>
      </c>
    </row>
    <row r="333" spans="1:10" x14ac:dyDescent="0.55000000000000004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4">
        <f>'Resultater - Vestdanmark'!H333+'Resultater - Østdanmark'!H333</f>
        <v>43152.111373008069</v>
      </c>
      <c r="I333" s="255">
        <f>'Resultater - Vestdanmark'!I333+'Resultater - Østdanmark'!I333</f>
        <v>48639.437126164594</v>
      </c>
      <c r="J333" s="256">
        <f>'Resultater - Vestdanmark'!J333+'Resultater - Østdanmark'!J333</f>
        <v>136574.6844</v>
      </c>
    </row>
    <row r="334" spans="1:10" x14ac:dyDescent="0.55000000000000004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4">
        <f>'Resultater - Vestdanmark'!H334+'Resultater - Østdanmark'!H334</f>
        <v>23047.758444880474</v>
      </c>
      <c r="I334" s="255">
        <f>'Resultater - Vestdanmark'!I334+'Resultater - Østdanmark'!I334</f>
        <v>27304.854691847166</v>
      </c>
      <c r="J334" s="256">
        <f>'Resultater - Vestdanmark'!J334+'Resultater - Østdanmark'!J334</f>
        <v>83399.331028859975</v>
      </c>
    </row>
    <row r="335" spans="1:10" x14ac:dyDescent="0.55000000000000004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4">
        <f>'Resultater - Vestdanmark'!H335+'Resultater - Østdanmark'!H335</f>
        <v>-1716277.1568810029</v>
      </c>
      <c r="I335" s="255">
        <f>'Resultater - Vestdanmark'!I335+'Resultater - Østdanmark'!I335</f>
        <v>-1934523.0675179102</v>
      </c>
      <c r="J335" s="256">
        <f>'Resultater - Vestdanmark'!J335+'Resultater - Østdanmark'!J335</f>
        <v>-5431947.6749999998</v>
      </c>
    </row>
    <row r="336" spans="1:10" x14ac:dyDescent="0.55000000000000004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4">
        <f>'Resultater - Vestdanmark'!H336+'Resultater - Østdanmark'!H336</f>
        <v>40543.269658642035</v>
      </c>
      <c r="I336" s="255">
        <f>'Resultater - Vestdanmark'!I336+'Resultater - Østdanmark'!I336</f>
        <v>45698.848855960168</v>
      </c>
      <c r="J336" s="256">
        <f>'Resultater - Vestdanmark'!J336+'Resultater - Østdanmark'!J336</f>
        <v>128317.80605842329</v>
      </c>
    </row>
    <row r="337" spans="1:10" x14ac:dyDescent="0.55000000000000004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4">
        <f>'Resultater - Vestdanmark'!H337+'Resultater - Østdanmark'!H337</f>
        <v>954.07204835454411</v>
      </c>
      <c r="I337" s="255">
        <f>'Resultater - Vestdanmark'!I337+'Resultater - Østdanmark'!I337</f>
        <v>869.01802548090018</v>
      </c>
      <c r="J337" s="256">
        <f>'Resultater - Vestdanmark'!J337+'Resultater - Østdanmark'!J337</f>
        <v>128.03625350608931</v>
      </c>
    </row>
    <row r="338" spans="1:10" x14ac:dyDescent="0.55000000000000004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4">
        <f>'Resultater - Vestdanmark'!H338+'Resultater - Østdanmark'!H338</f>
        <v>509.57465138640373</v>
      </c>
      <c r="I338" s="255">
        <f>'Resultater - Vestdanmark'!I338+'Resultater - Østdanmark'!I338</f>
        <v>487.84304079842457</v>
      </c>
      <c r="J338" s="256">
        <f>'Resultater - Vestdanmark'!J338+'Resultater - Østdanmark'!J338</f>
        <v>78.185338203493416</v>
      </c>
    </row>
    <row r="339" spans="1:10" x14ac:dyDescent="0.55000000000000004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4">
        <f>'Resultater - Vestdanmark'!H339+'Resultater - Østdanmark'!H339</f>
        <v>-26200.842237009252</v>
      </c>
      <c r="I339" s="255">
        <f>'Resultater - Vestdanmark'!I339+'Resultater - Østdanmark'!I339</f>
        <v>-23865.078351274718</v>
      </c>
      <c r="J339" s="256">
        <f>'Resultater - Vestdanmark'!J339+'Resultater - Østdanmark'!J339</f>
        <v>-3516.1471133301034</v>
      </c>
    </row>
    <row r="340" spans="1:10" x14ac:dyDescent="0.55000000000000004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4">
        <f>'Resultater - Vestdanmark'!H340+'Resultater - Østdanmark'!H340</f>
        <v>5253.8665984320505</v>
      </c>
      <c r="I340" s="255">
        <f>'Resultater - Vestdanmark'!I340+'Resultater - Østdanmark'!I340</f>
        <v>4785.4926526605532</v>
      </c>
      <c r="J340" s="256">
        <f>'Resultater - Vestdanmark'!J340+'Resultater - Østdanmark'!J340</f>
        <v>705.0677114418969</v>
      </c>
    </row>
    <row r="341" spans="1:10" x14ac:dyDescent="0.55000000000000004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4">
        <f>'Resultater - Vestdanmark'!H341+'Resultater - Østdanmark'!H341</f>
        <v>462.03838922607775</v>
      </c>
      <c r="I341" s="255">
        <f>'Resultater - Vestdanmark'!I341+'Resultater - Østdanmark'!I341</f>
        <v>411.01883605835911</v>
      </c>
      <c r="J341" s="256">
        <f>'Resultater - Vestdanmark'!J341+'Resultater - Østdanmark'!J341</f>
        <v>0</v>
      </c>
    </row>
    <row r="342" spans="1:10" x14ac:dyDescent="0.55000000000000004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4">
        <f>'Resultater - Vestdanmark'!H342+'Resultater - Østdanmark'!H342</f>
        <v>246.77701387759424</v>
      </c>
      <c r="I342" s="255">
        <f>'Resultater - Vestdanmark'!I342+'Resultater - Østdanmark'!I342</f>
        <v>230.73477526220313</v>
      </c>
      <c r="J342" s="256">
        <f>'Resultater - Vestdanmark'!J342+'Resultater - Østdanmark'!J342</f>
        <v>0</v>
      </c>
    </row>
    <row r="343" spans="1:10" x14ac:dyDescent="0.55000000000000004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4">
        <f>'Resultater - Vestdanmark'!H343+'Resultater - Østdanmark'!H343</f>
        <v>-8625.7166819803479</v>
      </c>
      <c r="I343" s="255">
        <f>'Resultater - Vestdanmark'!I343+'Resultater - Østdanmark'!I343</f>
        <v>-7673.2412575830022</v>
      </c>
      <c r="J343" s="256">
        <f>'Resultater - Vestdanmark'!J343+'Resultater - Østdanmark'!J343</f>
        <v>0</v>
      </c>
    </row>
    <row r="344" spans="1:10" x14ac:dyDescent="0.55000000000000004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4">
        <f>'Resultater - Vestdanmark'!H344+'Resultater - Østdanmark'!H344</f>
        <v>5584.7859804107484</v>
      </c>
      <c r="I344" s="255">
        <f>'Resultater - Vestdanmark'!I344+'Resultater - Østdanmark'!I344</f>
        <v>4968.0985104904157</v>
      </c>
      <c r="J344" s="256">
        <f>'Resultater - Vestdanmark'!J344+'Resultater - Østdanmark'!J344</f>
        <v>0</v>
      </c>
    </row>
    <row r="345" spans="1:10" x14ac:dyDescent="0.55000000000000004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4">
        <f>'Resultater - Vestdanmark'!H345+'Resultater - Østdanmark'!H345</f>
        <v>1241441.5414695307</v>
      </c>
      <c r="I345" s="255">
        <f>'Resultater - Vestdanmark'!I345+'Resultater - Østdanmark'!I345</f>
        <v>1135520.9094378073</v>
      </c>
      <c r="J345" s="256">
        <f>'Resultater - Vestdanmark'!J345+'Resultater - Østdanmark'!J345</f>
        <v>0</v>
      </c>
    </row>
    <row r="346" spans="1:10" x14ac:dyDescent="0.55000000000000004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4">
        <f>'Resultater - Vestdanmark'!H346+'Resultater - Østdanmark'!H346</f>
        <v>206239.95017814124</v>
      </c>
      <c r="I346" s="255">
        <f>'Resultater - Vestdanmark'!I346+'Resultater - Østdanmark'!I346</f>
        <v>198274.26226208545</v>
      </c>
      <c r="J346" s="256">
        <f>'Resultater - Vestdanmark'!J346+'Resultater - Østdanmark'!J346</f>
        <v>0</v>
      </c>
    </row>
    <row r="347" spans="1:10" x14ac:dyDescent="0.55000000000000004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4">
        <f>'Resultater - Vestdanmark'!H347+'Resultater - Østdanmark'!H347</f>
        <v>-13032265.787648994</v>
      </c>
      <c r="I347" s="255">
        <f>'Resultater - Vestdanmark'!I347+'Resultater - Østdanmark'!I347</f>
        <v>-11920344.055596124</v>
      </c>
      <c r="J347" s="256">
        <f>'Resultater - Vestdanmark'!J347+'Resultater - Østdanmark'!J347</f>
        <v>0</v>
      </c>
    </row>
    <row r="348" spans="1:10" x14ac:dyDescent="0.55000000000000004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4">
        <f>'Resultater - Vestdanmark'!H348+'Resultater - Østdanmark'!H348</f>
        <v>197542.59544633992</v>
      </c>
      <c r="I348" s="255">
        <f>'Resultater - Vestdanmark'!I348+'Resultater - Østdanmark'!I348</f>
        <v>180688.12758465135</v>
      </c>
      <c r="J348" s="256">
        <f>'Resultater - Vestdanmark'!J348+'Resultater - Østdanmark'!J348</f>
        <v>0</v>
      </c>
    </row>
    <row r="349" spans="1:10" x14ac:dyDescent="0.55000000000000004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4">
        <f>'Resultater - Vestdanmark'!H349+'Resultater - Østdanmark'!H349</f>
        <v>87728.525972100848</v>
      </c>
      <c r="I349" s="255">
        <f>'Resultater - Vestdanmark'!I349+'Resultater - Østdanmark'!I349</f>
        <v>65346.945504550538</v>
      </c>
      <c r="J349" s="256">
        <f>'Resultater - Vestdanmark'!J349+'Resultater - Østdanmark'!J349</f>
        <v>7098.087298545569</v>
      </c>
    </row>
    <row r="350" spans="1:10" x14ac:dyDescent="0.55000000000000004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4">
        <f>'Resultater - Vestdanmark'!H350+'Resultater - Østdanmark'!H350</f>
        <v>14574.288213579908</v>
      </c>
      <c r="I350" s="255">
        <f>'Resultater - Vestdanmark'!I350+'Resultater - Østdanmark'!I350</f>
        <v>11410.285185686487</v>
      </c>
      <c r="J350" s="256">
        <f>'Resultater - Vestdanmark'!J350+'Resultater - Østdanmark'!J350</f>
        <v>1348.197680172181</v>
      </c>
    </row>
    <row r="351" spans="1:10" x14ac:dyDescent="0.55000000000000004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4">
        <f>'Resultater - Vestdanmark'!H351+'Resultater - Østdanmark'!H351</f>
        <v>-690710.01096458826</v>
      </c>
      <c r="I351" s="255">
        <f>'Resultater - Vestdanmark'!I351+'Resultater - Østdanmark'!I351</f>
        <v>-514493.8769437935</v>
      </c>
      <c r="J351" s="256">
        <f>'Resultater - Vestdanmark'!J351+'Resultater - Østdanmark'!J351</f>
        <v>-55885.128599620628</v>
      </c>
    </row>
    <row r="352" spans="1:10" x14ac:dyDescent="0.55000000000000004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4">
        <f>'Resultater - Vestdanmark'!H352+'Resultater - Østdanmark'!H352</f>
        <v>81819.432532653533</v>
      </c>
      <c r="I352" s="255">
        <f>'Resultater - Vestdanmark'!I352+'Resultater - Østdanmark'!I352</f>
        <v>60945.398770576445</v>
      </c>
      <c r="J352" s="256">
        <f>'Resultater - Vestdanmark'!J352+'Resultater - Østdanmark'!J352</f>
        <v>6619.9844166870644</v>
      </c>
    </row>
    <row r="353" spans="1:10" x14ac:dyDescent="0.55000000000000004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4">
        <f>'Resultater - Vestdanmark'!H353+'Resultater - Østdanmark'!H353</f>
        <v>76654.605084511393</v>
      </c>
      <c r="I353" s="255">
        <f>'Resultater - Vestdanmark'!I353+'Resultater - Østdanmark'!I353</f>
        <v>55966.193537820051</v>
      </c>
      <c r="J353" s="256">
        <f>'Resultater - Vestdanmark'!J353+'Resultater - Østdanmark'!J353</f>
        <v>0</v>
      </c>
    </row>
    <row r="354" spans="1:10" x14ac:dyDescent="0.55000000000000004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4">
        <f>'Resultater - Vestdanmark'!H354+'Resultater - Østdanmark'!H354</f>
        <v>12734.584275986817</v>
      </c>
      <c r="I354" s="255">
        <f>'Resultater - Vestdanmark'!I354+'Resultater - Østdanmark'!I354</f>
        <v>9772.3041848892808</v>
      </c>
      <c r="J354" s="256">
        <f>'Resultater - Vestdanmark'!J354+'Resultater - Østdanmark'!J354</f>
        <v>0</v>
      </c>
    </row>
    <row r="355" spans="1:10" x14ac:dyDescent="0.55000000000000004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4">
        <f>'Resultater - Vestdanmark'!H355+'Resultater - Østdanmark'!H355</f>
        <v>-459826.35229782818</v>
      </c>
      <c r="I355" s="255">
        <f>'Resultater - Vestdanmark'!I355+'Resultater - Østdanmark'!I355</f>
        <v>-335723.21712593315</v>
      </c>
      <c r="J355" s="256">
        <f>'Resultater - Vestdanmark'!J355+'Resultater - Østdanmark'!J355</f>
        <v>0</v>
      </c>
    </row>
    <row r="356" spans="1:10" x14ac:dyDescent="0.55000000000000004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4">
        <f>'Resultater - Vestdanmark'!H356+'Resultater - Østdanmark'!H356</f>
        <v>156922.23534513626</v>
      </c>
      <c r="I356" s="255">
        <f>'Resultater - Vestdanmark'!I356+'Resultater - Østdanmark'!I356</f>
        <v>114570.28816508477</v>
      </c>
      <c r="J356" s="256">
        <f>'Resultater - Vestdanmark'!J356+'Resultater - Østdanmark'!J356</f>
        <v>0</v>
      </c>
    </row>
    <row r="357" spans="1:10" x14ac:dyDescent="0.55000000000000004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4">
        <f>'Resultater - Vestdanmark'!H357+'Resultater - Østdanmark'!H357</f>
        <v>90477.579370643434</v>
      </c>
      <c r="I357" s="255">
        <f>'Resultater - Vestdanmark'!I357+'Resultater - Østdanmark'!I357</f>
        <v>101219.91371917947</v>
      </c>
      <c r="J357" s="256">
        <f>'Resultater - Vestdanmark'!J357+'Resultater - Østdanmark'!J357</f>
        <v>0</v>
      </c>
    </row>
    <row r="358" spans="1:10" x14ac:dyDescent="0.55000000000000004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4">
        <f>'Resultater - Vestdanmark'!H358+'Resultater - Østdanmark'!H358</f>
        <v>15030.986831286333</v>
      </c>
      <c r="I358" s="255">
        <f>'Resultater - Vestdanmark'!I358+'Resultater - Østdanmark'!I358</f>
        <v>17674.094375627566</v>
      </c>
      <c r="J358" s="256">
        <f>'Resultater - Vestdanmark'!J358+'Resultater - Østdanmark'!J358</f>
        <v>0</v>
      </c>
    </row>
    <row r="359" spans="1:10" x14ac:dyDescent="0.55000000000000004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4">
        <f>'Resultater - Vestdanmark'!H359+'Resultater - Østdanmark'!H359</f>
        <v>-949805.38574983133</v>
      </c>
      <c r="I359" s="255">
        <f>'Resultater - Vestdanmark'!I359+'Resultater - Østdanmark'!I359</f>
        <v>-1062575.0585321635</v>
      </c>
      <c r="J359" s="256">
        <f>'Resultater - Vestdanmark'!J359+'Resultater - Østdanmark'!J359</f>
        <v>0</v>
      </c>
    </row>
    <row r="360" spans="1:10" x14ac:dyDescent="0.55000000000000004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4">
        <f>'Resultater - Vestdanmark'!H360+'Resultater - Østdanmark'!H360</f>
        <v>25258.095389318682</v>
      </c>
      <c r="I360" s="255">
        <f>'Resultater - Vestdanmark'!I360+'Resultater - Østdanmark'!I360</f>
        <v>28256.969890235254</v>
      </c>
      <c r="J360" s="256">
        <f>'Resultater - Vestdanmark'!J360+'Resultater - Østdanmark'!J360</f>
        <v>0</v>
      </c>
    </row>
    <row r="361" spans="1:10" x14ac:dyDescent="0.55000000000000004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4">
        <f>'Resultater - Vestdanmark'!H361+'Resultater - Østdanmark'!H361</f>
        <v>6393.7482407061234</v>
      </c>
      <c r="I361" s="255">
        <f>'Resultater - Vestdanmark'!I361+'Resultater - Østdanmark'!I361</f>
        <v>5825.0025435967555</v>
      </c>
      <c r="J361" s="256">
        <f>'Resultater - Vestdanmark'!J361+'Resultater - Østdanmark'!J361</f>
        <v>858.22328246050961</v>
      </c>
    </row>
    <row r="362" spans="1:10" x14ac:dyDescent="0.55000000000000004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4">
        <f>'Resultater - Vestdanmark'!H362+'Resultater - Østdanmark'!H362</f>
        <v>1062.1896195401109</v>
      </c>
      <c r="I362" s="255">
        <f>'Resultater - Vestdanmark'!I362+'Resultater - Østdanmark'!I362</f>
        <v>1017.1085995926124</v>
      </c>
      <c r="J362" s="256">
        <f>'Resultater - Vestdanmark'!J362+'Resultater - Østdanmark'!J362</f>
        <v>163.00935587536367</v>
      </c>
    </row>
    <row r="363" spans="1:10" x14ac:dyDescent="0.55000000000000004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4">
        <f>'Resultater - Vestdanmark'!H363+'Resultater - Østdanmark'!H363</f>
        <v>-50339.679921755182</v>
      </c>
      <c r="I363" s="255">
        <f>'Resultater - Vestdanmark'!I363+'Resultater - Østdanmark'!I363</f>
        <v>-45861.793825602101</v>
      </c>
      <c r="J363" s="256">
        <f>'Resultater - Vestdanmark'!J363+'Resultater - Østdanmark'!J363</f>
        <v>-6757.0200943177651</v>
      </c>
    </row>
    <row r="364" spans="1:10" x14ac:dyDescent="0.55000000000000004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4">
        <f>'Resultater - Vestdanmark'!H364+'Resultater - Østdanmark'!H364</f>
        <v>10461.556541465279</v>
      </c>
      <c r="I364" s="255">
        <f>'Resultater - Vestdanmark'!I364+'Resultater - Østdanmark'!I364</f>
        <v>9530.9654321463368</v>
      </c>
      <c r="J364" s="256">
        <f>'Resultater - Vestdanmark'!J364+'Resultater - Østdanmark'!J364</f>
        <v>1404.2391186911955</v>
      </c>
    </row>
    <row r="365" spans="1:10" x14ac:dyDescent="0.55000000000000004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4">
        <f>'Resultater - Vestdanmark'!H365+'Resultater - Østdanmark'!H365</f>
        <v>5586.669113270872</v>
      </c>
      <c r="I365" s="255">
        <f>'Resultater - Vestdanmark'!I365+'Resultater - Østdanmark'!I365</f>
        <v>4988.8057842049911</v>
      </c>
      <c r="J365" s="256">
        <f>'Resultater - Vestdanmark'!J365+'Resultater - Østdanmark'!J365</f>
        <v>0</v>
      </c>
    </row>
    <row r="366" spans="1:10" x14ac:dyDescent="0.55000000000000004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4">
        <f>'Resultater - Vestdanmark'!H366+'Resultater - Østdanmark'!H366</f>
        <v>928.11004070224612</v>
      </c>
      <c r="I366" s="255">
        <f>'Resultater - Vestdanmark'!I366+'Resultater - Østdanmark'!I366</f>
        <v>871.09957924226615</v>
      </c>
      <c r="J366" s="256">
        <f>'Resultater - Vestdanmark'!J366+'Resultater - Østdanmark'!J366</f>
        <v>0</v>
      </c>
    </row>
    <row r="367" spans="1:10" x14ac:dyDescent="0.55000000000000004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4">
        <f>'Resultater - Vestdanmark'!H367+'Resultater - Østdanmark'!H367</f>
        <v>-33512.633416062716</v>
      </c>
      <c r="I367" s="255">
        <f>'Resultater - Vestdanmark'!I367+'Resultater - Østdanmark'!I367</f>
        <v>-29926.243355427621</v>
      </c>
      <c r="J367" s="256">
        <f>'Resultater - Vestdanmark'!J367+'Resultater - Østdanmark'!J367</f>
        <v>0</v>
      </c>
    </row>
    <row r="368" spans="1:10" x14ac:dyDescent="0.55000000000000004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4">
        <f>'Resultater - Vestdanmark'!H368+'Resultater - Østdanmark'!H368</f>
        <v>20064.314636026029</v>
      </c>
      <c r="I368" s="255">
        <f>'Resultater - Vestdanmark'!I368+'Resultater - Østdanmark'!I368</f>
        <v>17917.110693837196</v>
      </c>
      <c r="J368" s="256">
        <f>'Resultater - Vestdanmark'!J368+'Resultater - Østdanmark'!J368</f>
        <v>0</v>
      </c>
    </row>
    <row r="369" spans="1:10" x14ac:dyDescent="0.55000000000000004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4">
        <f>'Resultater - Vestdanmark'!H369+'Resultater - Østdanmark'!H369</f>
        <v>804386.70310434792</v>
      </c>
      <c r="I369" s="255">
        <f>'Resultater - Vestdanmark'!I369+'Resultater - Østdanmark'!I369</f>
        <v>746282.02500232658</v>
      </c>
      <c r="J369" s="256">
        <f>'Resultater - Vestdanmark'!J369+'Resultater - Østdanmark'!J369</f>
        <v>672846.26603224664</v>
      </c>
    </row>
    <row r="370" spans="1:10" x14ac:dyDescent="0.55000000000000004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4">
        <f>'Resultater - Vestdanmark'!H370+'Resultater - Østdanmark'!H370</f>
        <v>-1769650.7468295656</v>
      </c>
      <c r="I370" s="255">
        <f>'Resultater - Vestdanmark'!I370+'Resultater - Østdanmark'!I370</f>
        <v>-1641820.4550051182</v>
      </c>
      <c r="J370" s="256">
        <f>'Resultater - Vestdanmark'!J370+'Resultater - Østdanmark'!J370</f>
        <v>-1480261.7852709426</v>
      </c>
    </row>
    <row r="371" spans="1:10" x14ac:dyDescent="0.55000000000000004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4">
        <f>'Resultater - Vestdanmark'!H371+'Resultater - Østdanmark'!H371</f>
        <v>31623.568231448324</v>
      </c>
      <c r="I371" s="255">
        <f>'Resultater - Vestdanmark'!I371+'Resultater - Østdanmark'!I371</f>
        <v>29339.247462054336</v>
      </c>
      <c r="J371" s="256">
        <f>'Resultater - Vestdanmark'!J371+'Resultater - Østdanmark'!J371</f>
        <v>26452.20230646422</v>
      </c>
    </row>
    <row r="372" spans="1:10" x14ac:dyDescent="0.55000000000000004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4">
        <f>'Resultater - Vestdanmark'!H372+'Resultater - Østdanmark'!H372</f>
        <v>27393.452669089784</v>
      </c>
      <c r="I372" s="255">
        <f>'Resultater - Vestdanmark'!I372+'Resultater - Østdanmark'!I372</f>
        <v>20396.911864482605</v>
      </c>
      <c r="J372" s="256">
        <f>'Resultater - Vestdanmark'!J372+'Resultater - Østdanmark'!J372</f>
        <v>2215.5444285418894</v>
      </c>
    </row>
    <row r="373" spans="1:10" x14ac:dyDescent="0.55000000000000004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4">
        <f>'Resultater - Vestdanmark'!H373+'Resultater - Østdanmark'!H373</f>
        <v>-45655.75444848297</v>
      </c>
      <c r="I373" s="255">
        <f>'Resultater - Vestdanmark'!I373+'Resultater - Østdanmark'!I373</f>
        <v>-33994.853107471004</v>
      </c>
      <c r="J373" s="256">
        <f>'Resultater - Vestdanmark'!J373+'Resultater - Østdanmark'!J373</f>
        <v>-3692.5740475698162</v>
      </c>
    </row>
    <row r="374" spans="1:10" x14ac:dyDescent="0.55000000000000004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4">
        <f>'Resultater - Vestdanmark'!H374+'Resultater - Østdanmark'!H374</f>
        <v>4867.6770004669015</v>
      </c>
      <c r="I374" s="255">
        <f>'Resultater - Vestdanmark'!I374+'Resultater - Østdanmark'!I374</f>
        <v>3624.4273389941923</v>
      </c>
      <c r="J374" s="256">
        <f>'Resultater - Vestdanmark'!J374+'Resultater - Østdanmark'!J374</f>
        <v>393.69095924498106</v>
      </c>
    </row>
    <row r="375" spans="1:10" x14ac:dyDescent="0.55000000000000004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4">
        <f>'Resultater - Vestdanmark'!H375+'Resultater - Østdanmark'!H375</f>
        <v>18360.165184548681</v>
      </c>
      <c r="I375" s="255">
        <f>'Resultater - Vestdanmark'!I375+'Resultater - Østdanmark'!I375</f>
        <v>13312.709280371439</v>
      </c>
      <c r="J375" s="256">
        <f>'Resultater - Vestdanmark'!J375+'Resultater - Østdanmark'!J375</f>
        <v>0</v>
      </c>
    </row>
    <row r="376" spans="1:10" x14ac:dyDescent="0.55000000000000004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4">
        <f>'Resultater - Vestdanmark'!H376+'Resultater - Østdanmark'!H376</f>
        <v>-23605.926665848303</v>
      </c>
      <c r="I376" s="255">
        <f>'Resultater - Vestdanmark'!I376+'Resultater - Østdanmark'!I376</f>
        <v>-17116.340503334708</v>
      </c>
      <c r="J376" s="256">
        <f>'Resultater - Vestdanmark'!J376+'Resultater - Østdanmark'!J376</f>
        <v>0</v>
      </c>
    </row>
    <row r="377" spans="1:10" x14ac:dyDescent="0.55000000000000004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4">
        <f>'Resultater - Vestdanmark'!H377+'Resultater - Østdanmark'!H377</f>
        <v>7475.6545232364842</v>
      </c>
      <c r="I377" s="255">
        <f>'Resultater - Vestdanmark'!I377+'Resultater - Østdanmark'!I377</f>
        <v>5420.4967301762017</v>
      </c>
      <c r="J377" s="256">
        <f>'Resultater - Vestdanmark'!J377+'Resultater - Østdanmark'!J377</f>
        <v>0</v>
      </c>
    </row>
    <row r="378" spans="1:10" x14ac:dyDescent="0.55000000000000004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4">
        <f>'Resultater - Vestdanmark'!H378+'Resultater - Østdanmark'!H378</f>
        <v>58624.558099339294</v>
      </c>
      <c r="I378" s="255">
        <f>'Resultater - Vestdanmark'!I378+'Resultater - Østdanmark'!I378</f>
        <v>66523.303580828768</v>
      </c>
      <c r="J378" s="256">
        <f>'Resultater - Vestdanmark'!J378+'Resultater - Østdanmark'!J378</f>
        <v>81353.230347535267</v>
      </c>
    </row>
    <row r="379" spans="1:10" x14ac:dyDescent="0.55000000000000004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4">
        <f>'Resultater - Vestdanmark'!H379+'Resultater - Østdanmark'!H379</f>
        <v>-128974.02781854646</v>
      </c>
      <c r="I379" s="255">
        <f>'Resultater - Vestdanmark'!I379+'Resultater - Østdanmark'!I379</f>
        <v>-146351.26787782327</v>
      </c>
      <c r="J379" s="256">
        <f>'Resultater - Vestdanmark'!J379+'Resultater - Østdanmark'!J379</f>
        <v>-178977.10676457762</v>
      </c>
    </row>
    <row r="380" spans="1:10" x14ac:dyDescent="0.55000000000000004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4">
        <f>'Resultater - Vestdanmark'!H380+'Resultater - Østdanmark'!H380</f>
        <v>4043.4373211296634</v>
      </c>
      <c r="I380" s="255">
        <f>'Resultater - Vestdanmark'!I380+'Resultater - Østdanmark'!I380</f>
        <v>4588.2274791354557</v>
      </c>
      <c r="J380" s="256">
        <f>'Resultater - Vestdanmark'!J380+'Resultater - Østdanmark'!J380</f>
        <v>5611.0732165227137</v>
      </c>
    </row>
    <row r="381" spans="1:10" x14ac:dyDescent="0.55000000000000004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4">
        <f>'Resultater - Vestdanmark'!H381+'Resultater - Østdanmark'!H381</f>
        <v>1996.4639536467182</v>
      </c>
      <c r="I381" s="255">
        <f>'Resultater - Vestdanmark'!I381+'Resultater - Østdanmark'!I381</f>
        <v>1818.1731766461269</v>
      </c>
      <c r="J381" s="256">
        <f>'Resultater - Vestdanmark'!J381+'Resultater - Østdanmark'!J381</f>
        <v>267.87946272370112</v>
      </c>
    </row>
    <row r="382" spans="1:10" x14ac:dyDescent="0.55000000000000004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4">
        <f>'Resultater - Vestdanmark'!H382+'Resultater - Østdanmark'!H382</f>
        <v>-3327.4399227445301</v>
      </c>
      <c r="I382" s="255">
        <f>'Resultater - Vestdanmark'!I382+'Resultater - Østdanmark'!I382</f>
        <v>-3030.288627743545</v>
      </c>
      <c r="J382" s="256">
        <f>'Resultater - Vestdanmark'!J382+'Resultater - Østdanmark'!J382</f>
        <v>-446.46577120616854</v>
      </c>
    </row>
    <row r="383" spans="1:10" x14ac:dyDescent="0.55000000000000004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4">
        <f>'Resultater - Vestdanmark'!H383+'Resultater - Østdanmark'!H383</f>
        <v>622.38855232406365</v>
      </c>
      <c r="I383" s="255">
        <f>'Resultater - Vestdanmark'!I383+'Resultater - Østdanmark'!I383</f>
        <v>566.80721393453689</v>
      </c>
      <c r="J383" s="256">
        <f>'Resultater - Vestdanmark'!J383+'Resultater - Østdanmark'!J383</f>
        <v>83.510203476208076</v>
      </c>
    </row>
    <row r="384" spans="1:10" x14ac:dyDescent="0.55000000000000004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4">
        <f>'Resultater - Vestdanmark'!H384+'Resultater - Østdanmark'!H384</f>
        <v>1338.1083581082171</v>
      </c>
      <c r="I384" s="255">
        <f>'Resultater - Vestdanmark'!I384+'Resultater - Østdanmark'!I384</f>
        <v>1186.6899794869169</v>
      </c>
      <c r="J384" s="256">
        <f>'Resultater - Vestdanmark'!J384+'Resultater - Østdanmark'!J384</f>
        <v>0</v>
      </c>
    </row>
    <row r="385" spans="1:10" x14ac:dyDescent="0.55000000000000004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4">
        <f>'Resultater - Vestdanmark'!H385+'Resultater - Østdanmark'!H385</f>
        <v>-1720.4250318534218</v>
      </c>
      <c r="I385" s="255">
        <f>'Resultater - Vestdanmark'!I385+'Resultater - Østdanmark'!I385</f>
        <v>-1525.7442593403216</v>
      </c>
      <c r="J385" s="256">
        <f>'Resultater - Vestdanmark'!J385+'Resultater - Østdanmark'!J385</f>
        <v>0</v>
      </c>
    </row>
    <row r="386" spans="1:10" x14ac:dyDescent="0.55000000000000004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4">
        <f>'Resultater - Vestdanmark'!H386+'Resultater - Østdanmark'!H386</f>
        <v>955.84850760346353</v>
      </c>
      <c r="I386" s="255">
        <f>'Resultater - Vestdanmark'!I386+'Resultater - Østdanmark'!I386</f>
        <v>847.68609283944113</v>
      </c>
      <c r="J386" s="256">
        <f>'Resultater - Vestdanmark'!J386+'Resultater - Østdanmark'!J386</f>
        <v>0</v>
      </c>
    </row>
    <row r="387" spans="1:10" x14ac:dyDescent="0.55000000000000004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4">
        <f>'Resultater - Vestdanmark'!H387+'Resultater - Østdanmark'!H387</f>
        <v>151198.05286083202</v>
      </c>
      <c r="I387" s="255">
        <f>'Resultater - Vestdanmark'!I387+'Resultater - Østdanmark'!I387</f>
        <v>139989.36201047894</v>
      </c>
      <c r="J387" s="256">
        <f>'Resultater - Vestdanmark'!J387+'Resultater - Østdanmark'!J387</f>
        <v>126214.10721059988</v>
      </c>
    </row>
    <row r="388" spans="1:10" x14ac:dyDescent="0.55000000000000004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4">
        <f>'Resultater - Vestdanmark'!H388+'Resultater - Østdanmark'!H388</f>
        <v>-743894.42007529351</v>
      </c>
      <c r="I388" s="255">
        <f>'Resultater - Vestdanmark'!I388+'Resultater - Østdanmark'!I388</f>
        <v>-688747.66109155654</v>
      </c>
      <c r="J388" s="256">
        <f>'Resultater - Vestdanmark'!J388+'Resultater - Østdanmark'!J388</f>
        <v>-620973.40747615136</v>
      </c>
    </row>
    <row r="389" spans="1:10" x14ac:dyDescent="0.55000000000000004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4">
        <f>'Resultater - Vestdanmark'!H389+'Resultater - Østdanmark'!H389</f>
        <v>12185.575596215564</v>
      </c>
      <c r="I389" s="255">
        <f>'Resultater - Vestdanmark'!I389+'Resultater - Østdanmark'!I389</f>
        <v>11282.228316887144</v>
      </c>
      <c r="J389" s="256">
        <f>'Resultater - Vestdanmark'!J389+'Resultater - Østdanmark'!J389</f>
        <v>10172.03274528437</v>
      </c>
    </row>
    <row r="390" spans="1:10" x14ac:dyDescent="0.55000000000000004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4">
        <f>'Resultater - Vestdanmark'!H390+'Resultater - Østdanmark'!H390</f>
        <v>22604.883417166257</v>
      </c>
      <c r="I390" s="255">
        <f>'Resultater - Vestdanmark'!I390+'Resultater - Østdanmark'!I390</f>
        <v>16832.230857183873</v>
      </c>
      <c r="J390" s="256">
        <f>'Resultater - Vestdanmark'!J390+'Resultater - Østdanmark'!J390</f>
        <v>1828.3432091748452</v>
      </c>
    </row>
    <row r="391" spans="1:10" x14ac:dyDescent="0.55000000000000004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4">
        <f>'Resultater - Vestdanmark'!H391+'Resultater - Østdanmark'!H391</f>
        <v>-92680.022010381668</v>
      </c>
      <c r="I391" s="255">
        <f>'Resultater - Vestdanmark'!I391+'Resultater - Østdanmark'!I391</f>
        <v>-69012.146514453896</v>
      </c>
      <c r="J391" s="256">
        <f>'Resultater - Vestdanmark'!J391+'Resultater - Østdanmark'!J391</f>
        <v>-7496.2071576168664</v>
      </c>
    </row>
    <row r="392" spans="1:10" x14ac:dyDescent="0.55000000000000004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4">
        <f>'Resultater - Vestdanmark'!H392+'Resultater - Østdanmark'!H392</f>
        <v>8234.3839053876236</v>
      </c>
      <c r="I392" s="255">
        <f>'Resultater - Vestdanmark'!I392+'Resultater - Østdanmark'!I392</f>
        <v>6131.5534481769546</v>
      </c>
      <c r="J392" s="256">
        <f>'Resultater - Vestdanmark'!J392+'Resultater - Østdanmark'!J392</f>
        <v>666.01891358223281</v>
      </c>
    </row>
    <row r="393" spans="1:10" x14ac:dyDescent="0.55000000000000004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4">
        <f>'Resultater - Vestdanmark'!H393+'Resultater - Østdanmark'!H393</f>
        <v>21807.878272481728</v>
      </c>
      <c r="I393" s="255">
        <f>'Resultater - Vestdanmark'!I393+'Resultater - Østdanmark'!I393</f>
        <v>15827.026345609298</v>
      </c>
      <c r="J393" s="256">
        <f>'Resultater - Vestdanmark'!J393+'Resultater - Østdanmark'!J393</f>
        <v>0</v>
      </c>
    </row>
    <row r="394" spans="1:10" x14ac:dyDescent="0.55000000000000004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4">
        <f>'Resultater - Vestdanmark'!H394+'Resultater - Østdanmark'!H394</f>
        <v>-76639.115071864377</v>
      </c>
      <c r="I394" s="255">
        <f>'Resultater - Vestdanmark'!I394+'Resultater - Østdanmark'!I394</f>
        <v>-55620.692585998397</v>
      </c>
      <c r="J394" s="256">
        <f>'Resultater - Vestdanmark'!J394+'Resultater - Østdanmark'!J394</f>
        <v>0</v>
      </c>
    </row>
    <row r="395" spans="1:10" x14ac:dyDescent="0.55000000000000004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4">
        <f>'Resultater - Vestdanmark'!H395+'Resultater - Østdanmark'!H395</f>
        <v>18202.871953106896</v>
      </c>
      <c r="I395" s="255">
        <f>'Resultater - Vestdanmark'!I395+'Resultater - Østdanmark'!I395</f>
        <v>13210.699838283259</v>
      </c>
      <c r="J395" s="256">
        <f>'Resultater - Vestdanmark'!J395+'Resultater - Østdanmark'!J395</f>
        <v>0</v>
      </c>
    </row>
    <row r="396" spans="1:10" x14ac:dyDescent="0.55000000000000004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4">
        <f>'Resultater - Vestdanmark'!H396+'Resultater - Østdanmark'!H396</f>
        <v>11019.474837461308</v>
      </c>
      <c r="I396" s="255">
        <f>'Resultater - Vestdanmark'!I396+'Resultater - Østdanmark'!I396</f>
        <v>12478.599932888101</v>
      </c>
      <c r="J396" s="256">
        <f>'Resultater - Vestdanmark'!J396+'Resultater - Østdanmark'!J396</f>
        <v>15260.432962736164</v>
      </c>
    </row>
    <row r="397" spans="1:10" x14ac:dyDescent="0.55000000000000004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4">
        <f>'Resultater - Vestdanmark'!H397+'Resultater - Østdanmark'!H397</f>
        <v>-54215.816200309637</v>
      </c>
      <c r="I397" s="255">
        <f>'Resultater - Vestdanmark'!I397+'Resultater - Østdanmark'!I397</f>
        <v>-61394.711669809454</v>
      </c>
      <c r="J397" s="256">
        <f>'Resultater - Vestdanmark'!J397+'Resultater - Østdanmark'!J397</f>
        <v>-75081.330176661926</v>
      </c>
    </row>
    <row r="398" spans="1:10" x14ac:dyDescent="0.55000000000000004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4">
        <f>'Resultater - Vestdanmark'!H398+'Resultater - Østdanmark'!H398</f>
        <v>1558.0661481516906</v>
      </c>
      <c r="I398" s="255">
        <f>'Resultater - Vestdanmark'!I398+'Resultater - Østdanmark'!I398</f>
        <v>1764.37483805173</v>
      </c>
      <c r="J398" s="256">
        <f>'Resultater - Vestdanmark'!J398+'Resultater - Østdanmark'!J398</f>
        <v>2157.7039156663814</v>
      </c>
    </row>
    <row r="399" spans="1:10" x14ac:dyDescent="0.55000000000000004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4">
        <f>'Resultater - Vestdanmark'!H399+'Resultater - Østdanmark'!H399</f>
        <v>1647.4679356385941</v>
      </c>
      <c r="I399" s="255">
        <f>'Resultater - Vestdanmark'!I399+'Resultater - Østdanmark'!I399</f>
        <v>1500.4188306043495</v>
      </c>
      <c r="J399" s="256">
        <f>'Resultater - Vestdanmark'!J399+'Resultater - Østdanmark'!J399</f>
        <v>221.06331529114038</v>
      </c>
    </row>
    <row r="400" spans="1:10" x14ac:dyDescent="0.55000000000000004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4">
        <f>'Resultater - Vestdanmark'!H400+'Resultater - Østdanmark'!H400</f>
        <v>-6754.6185361182361</v>
      </c>
      <c r="I400" s="255">
        <f>'Resultater - Vestdanmark'!I400+'Resultater - Østdanmark'!I400</f>
        <v>-6151.717205477833</v>
      </c>
      <c r="J400" s="256">
        <f>'Resultater - Vestdanmark'!J400+'Resultater - Østdanmark'!J400</f>
        <v>-906.35959269367561</v>
      </c>
    </row>
    <row r="401" spans="1:10" x14ac:dyDescent="0.55000000000000004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4">
        <f>'Resultater - Vestdanmark'!H401+'Resultater - Østdanmark'!H401</f>
        <v>1052.8607953369108</v>
      </c>
      <c r="I401" s="255">
        <f>'Resultater - Vestdanmark'!I401+'Resultater - Østdanmark'!I401</f>
        <v>958.88492222231616</v>
      </c>
      <c r="J401" s="256">
        <f>'Resultater - Vestdanmark'!J401+'Resultater - Østdanmark'!J401</f>
        <v>141.27673924471608</v>
      </c>
    </row>
    <row r="402" spans="1:10" x14ac:dyDescent="0.55000000000000004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4">
        <f>'Resultater - Vestdanmark'!H402+'Resultater - Østdanmark'!H402</f>
        <v>1589.3813533645339</v>
      </c>
      <c r="I402" s="255">
        <f>'Resultater - Vestdanmark'!I402+'Resultater - Østdanmark'!I402</f>
        <v>1410.8152723730143</v>
      </c>
      <c r="J402" s="256">
        <f>'Resultater - Vestdanmark'!J402+'Resultater - Østdanmark'!J402</f>
        <v>0</v>
      </c>
    </row>
    <row r="403" spans="1:10" x14ac:dyDescent="0.55000000000000004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4">
        <f>'Resultater - Vestdanmark'!H403+'Resultater - Østdanmark'!H403</f>
        <v>-5585.5401846810773</v>
      </c>
      <c r="I403" s="255">
        <f>'Resultater - Vestdanmark'!I403+'Resultater - Østdanmark'!I403</f>
        <v>-4958.0079571965944</v>
      </c>
      <c r="J403" s="256">
        <f>'Resultater - Vestdanmark'!J403+'Resultater - Østdanmark'!J403</f>
        <v>0</v>
      </c>
    </row>
    <row r="404" spans="1:10" x14ac:dyDescent="0.55000000000000004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4">
        <f>'Resultater - Vestdanmark'!H404+'Resultater - Østdanmark'!H404</f>
        <v>2327.4467722381351</v>
      </c>
      <c r="I404" s="255">
        <f>'Resultater - Vestdanmark'!I404+'Resultater - Østdanmark'!I404</f>
        <v>2065.9594659002678</v>
      </c>
      <c r="J404" s="256">
        <f>'Resultater - Vestdanmark'!J404+'Resultater - Østdanmark'!J404</f>
        <v>0</v>
      </c>
    </row>
    <row r="405" spans="1:10" x14ac:dyDescent="0.55000000000000004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4">
        <f>'Resultater - Vestdanmark'!H405+'Resultater - Østdanmark'!H405</f>
        <v>2074307.374215838</v>
      </c>
      <c r="I405" s="255">
        <f>'Resultater - Vestdanmark'!I405+'Resultater - Østdanmark'!I405</f>
        <v>2984170.0437616119</v>
      </c>
      <c r="J405" s="256">
        <f>'Resultater - Vestdanmark'!J405+'Resultater - Østdanmark'!J405</f>
        <v>0</v>
      </c>
    </row>
    <row r="406" spans="1:10" x14ac:dyDescent="0.55000000000000004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4">
        <f>'Resultater - Vestdanmark'!H406+'Resultater - Østdanmark'!H406</f>
        <v>-7521056.4692379907</v>
      </c>
      <c r="I406" s="255">
        <f>'Resultater - Vestdanmark'!I406+'Resultater - Østdanmark'!I406</f>
        <v>-10820050.920092864</v>
      </c>
      <c r="J406" s="256">
        <f>'Resultater - Vestdanmark'!J406+'Resultater - Østdanmark'!J406</f>
        <v>0</v>
      </c>
    </row>
    <row r="407" spans="1:10" x14ac:dyDescent="0.55000000000000004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4">
        <f>'Resultater - Vestdanmark'!H407+'Resultater - Østdanmark'!H407</f>
        <v>295681.96678242408</v>
      </c>
      <c r="I407" s="255">
        <f>'Resultater - Vestdanmark'!I407+'Resultater - Østdanmark'!I407</f>
        <v>425378.26299064833</v>
      </c>
      <c r="J407" s="256">
        <f>'Resultater - Vestdanmark'!J407+'Resultater - Østdanmark'!J407</f>
        <v>0</v>
      </c>
    </row>
    <row r="408" spans="1:10" x14ac:dyDescent="0.55000000000000004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4">
        <f>'Resultater - Vestdanmark'!H408+'Resultater - Østdanmark'!H408</f>
        <v>362795.13500095531</v>
      </c>
      <c r="I408" s="255">
        <f>'Resultater - Vestdanmark'!I408+'Resultater - Østdanmark'!I408</f>
        <v>269871.84367810137</v>
      </c>
      <c r="J408" s="256">
        <f>'Resultater - Vestdanmark'!J408+'Resultater - Østdanmark'!J408</f>
        <v>29313.901224552461</v>
      </c>
    </row>
    <row r="409" spans="1:10" x14ac:dyDescent="0.55000000000000004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4">
        <f>'Resultater - Vestdanmark'!H409+'Resultater - Østdanmark'!H409</f>
        <v>-1096190.2797950064</v>
      </c>
      <c r="I409" s="255">
        <f>'Resultater - Vestdanmark'!I409+'Resultater - Østdanmark'!I409</f>
        <v>-815421.33091038605</v>
      </c>
      <c r="J409" s="256">
        <f>'Resultater - Vestdanmark'!J409+'Resultater - Østdanmark'!J409</f>
        <v>-88572.338725382098</v>
      </c>
    </row>
    <row r="410" spans="1:10" x14ac:dyDescent="0.55000000000000004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4">
        <f>'Resultater - Vestdanmark'!H410+'Resultater - Østdanmark'!H410</f>
        <v>233744.91463565463</v>
      </c>
      <c r="I410" s="255">
        <f>'Resultater - Vestdanmark'!I410+'Resultater - Østdanmark'!I410</f>
        <v>173875.46021789522</v>
      </c>
      <c r="J410" s="256">
        <f>'Resultater - Vestdanmark'!J410+'Resultater - Østdanmark'!J410</f>
        <v>18886.624098068416</v>
      </c>
    </row>
    <row r="411" spans="1:10" x14ac:dyDescent="0.55000000000000004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4">
        <f>'Resultater - Vestdanmark'!H411+'Resultater - Østdanmark'!H411</f>
        <v>458081.74348965334</v>
      </c>
      <c r="I411" s="255">
        <f>'Resultater - Vestdanmark'!I411+'Resultater - Østdanmark'!I411</f>
        <v>328211.74815561355</v>
      </c>
      <c r="J411" s="256">
        <f>'Resultater - Vestdanmark'!J411+'Resultater - Østdanmark'!J411</f>
        <v>0</v>
      </c>
    </row>
    <row r="412" spans="1:10" x14ac:dyDescent="0.55000000000000004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4">
        <f>'Resultater - Vestdanmark'!H412+'Resultater - Østdanmark'!H412</f>
        <v>-1186371.4479686453</v>
      </c>
      <c r="I412" s="255">
        <f>'Resultater - Vestdanmark'!I412+'Resultater - Østdanmark'!I412</f>
        <v>-850025.24644051981</v>
      </c>
      <c r="J412" s="256">
        <f>'Resultater - Vestdanmark'!J412+'Resultater - Østdanmark'!J412</f>
        <v>0</v>
      </c>
    </row>
    <row r="413" spans="1:10" x14ac:dyDescent="0.55000000000000004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4">
        <f>'Resultater - Vestdanmark'!H413+'Resultater - Østdanmark'!H413</f>
        <v>676271.92832627031</v>
      </c>
      <c r="I413" s="255">
        <f>'Resultater - Vestdanmark'!I413+'Resultater - Østdanmark'!I413</f>
        <v>484543.19557388418</v>
      </c>
      <c r="J413" s="256">
        <f>'Resultater - Vestdanmark'!J413+'Resultater - Østdanmark'!J413</f>
        <v>0</v>
      </c>
    </row>
    <row r="414" spans="1:10" x14ac:dyDescent="0.55000000000000004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4">
        <f>'Resultater - Vestdanmark'!H414+'Resultater - Østdanmark'!H414</f>
        <v>265224.08195726445</v>
      </c>
      <c r="I414" s="255">
        <f>'Resultater - Vestdanmark'!I414+'Resultater - Østdanmark'!I414</f>
        <v>466680.3746383877</v>
      </c>
      <c r="J414" s="256">
        <f>'Resultater - Vestdanmark'!J414+'Resultater - Østdanmark'!J414</f>
        <v>0</v>
      </c>
    </row>
    <row r="415" spans="1:10" x14ac:dyDescent="0.55000000000000004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4">
        <f>'Resultater - Vestdanmark'!H415+'Resultater - Østdanmark'!H415</f>
        <v>-961653.66917064704</v>
      </c>
      <c r="I415" s="255">
        <f>'Resultater - Vestdanmark'!I415+'Resultater - Østdanmark'!I415</f>
        <v>-1692097.0799071344</v>
      </c>
      <c r="J415" s="256">
        <f>'Resultater - Vestdanmark'!J415+'Resultater - Østdanmark'!J415</f>
        <v>0</v>
      </c>
    </row>
    <row r="416" spans="1:10" x14ac:dyDescent="0.55000000000000004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4">
        <f>'Resultater - Vestdanmark'!H416+'Resultater - Østdanmark'!H416</f>
        <v>37806.344019209348</v>
      </c>
      <c r="I416" s="255">
        <f>'Resultater - Vestdanmark'!I416+'Resultater - Østdanmark'!I416</f>
        <v>66522.913984240993</v>
      </c>
      <c r="J416" s="256">
        <f>'Resultater - Vestdanmark'!J416+'Resultater - Østdanmark'!J416</f>
        <v>0</v>
      </c>
    </row>
    <row r="417" spans="1:10" x14ac:dyDescent="0.55000000000000004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4">
        <f>'Resultater - Vestdanmark'!H417+'Resultater - Østdanmark'!H417</f>
        <v>46387.535336013323</v>
      </c>
      <c r="I417" s="255">
        <f>'Resultater - Vestdanmark'!I417+'Resultater - Østdanmark'!I417</f>
        <v>42203.993494048242</v>
      </c>
      <c r="J417" s="256">
        <f>'Resultater - Vestdanmark'!J417+'Resultater - Østdanmark'!J417</f>
        <v>6218.1002597535526</v>
      </c>
    </row>
    <row r="418" spans="1:10" x14ac:dyDescent="0.55000000000000004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4">
        <f>'Resultater - Vestdanmark'!H418+'Resultater - Østdanmark'!H418</f>
        <v>-140160.5491177584</v>
      </c>
      <c r="I418" s="255">
        <f>'Resultater - Vestdanmark'!I418+'Resultater - Østdanmark'!I418</f>
        <v>-127519.92232912809</v>
      </c>
      <c r="J418" s="256">
        <f>'Resultater - Vestdanmark'!J418+'Resultater - Østdanmark'!J418</f>
        <v>-18788.071850838624</v>
      </c>
    </row>
    <row r="419" spans="1:10" x14ac:dyDescent="0.55000000000000004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4">
        <f>'Resultater - Vestdanmark'!H419+'Resultater - Østdanmark'!H419</f>
        <v>29886.978741449482</v>
      </c>
      <c r="I419" s="255">
        <f>'Resultater - Vestdanmark'!I419+'Resultater - Østdanmark'!I419</f>
        <v>27191.568752772975</v>
      </c>
      <c r="J419" s="256">
        <f>'Resultater - Vestdanmark'!J419+'Resultater - Østdanmark'!J419</f>
        <v>4006.2535965599664</v>
      </c>
    </row>
    <row r="420" spans="1:10" x14ac:dyDescent="0.55000000000000004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4">
        <f>'Resultater - Vestdanmark'!H420+'Resultater - Østdanmark'!H420</f>
        <v>58571.025388344671</v>
      </c>
      <c r="I420" s="255">
        <f>'Resultater - Vestdanmark'!I420+'Resultater - Østdanmark'!I420</f>
        <v>51327.497878407667</v>
      </c>
      <c r="J420" s="256">
        <f>'Resultater - Vestdanmark'!J420+'Resultater - Østdanmark'!J420</f>
        <v>0</v>
      </c>
    </row>
    <row r="421" spans="1:10" x14ac:dyDescent="0.55000000000000004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4">
        <f>'Resultater - Vestdanmark'!H421+'Resultater - Østdanmark'!H421</f>
        <v>-151691.24984032079</v>
      </c>
      <c r="I421" s="255">
        <f>'Resultater - Vestdanmark'!I421+'Resultater - Østdanmark'!I421</f>
        <v>-132931.46658657325</v>
      </c>
      <c r="J421" s="256">
        <f>'Resultater - Vestdanmark'!J421+'Resultater - Østdanmark'!J421</f>
        <v>0</v>
      </c>
    </row>
    <row r="422" spans="1:10" x14ac:dyDescent="0.55000000000000004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4">
        <f>'Resultater - Vestdanmark'!H422+'Resultater - Østdanmark'!H422</f>
        <v>86469.152823414028</v>
      </c>
      <c r="I422" s="255">
        <f>'Resultater - Vestdanmark'!I422+'Resultater - Østdanmark'!I422</f>
        <v>75775.440649442346</v>
      </c>
      <c r="J422" s="256">
        <f>'Resultater - Vestdanmark'!J422+'Resultater - Østdanmark'!J422</f>
        <v>0</v>
      </c>
    </row>
    <row r="423" spans="1:10" x14ac:dyDescent="0.55000000000000004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4">
        <f ca="1">'Resultater - Vestdanmark'!H423+'Resultater - Østdanmark'!H423</f>
        <v>827707.93518034508</v>
      </c>
      <c r="I423" s="255">
        <f ca="1">'Resultater - Vestdanmark'!I423+'Resultater - Østdanmark'!I423</f>
        <v>792057.93807476689</v>
      </c>
      <c r="J423" s="256">
        <f ca="1">'Resultater - Vestdanmark'!J423+'Resultater - Østdanmark'!J423</f>
        <v>859926.76116467617</v>
      </c>
    </row>
    <row r="424" spans="1:10" x14ac:dyDescent="0.55000000000000004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4">
        <f ca="1">'Resultater - Vestdanmark'!H424+'Resultater - Østdanmark'!H424</f>
        <v>896683.59644537373</v>
      </c>
      <c r="I424" s="255">
        <f ca="1">'Resultater - Vestdanmark'!I424+'Resultater - Østdanmark'!I424</f>
        <v>858062.76624766411</v>
      </c>
      <c r="J424" s="256">
        <f ca="1">'Resultater - Vestdanmark'!J424+'Resultater - Østdanmark'!J424</f>
        <v>931587.32459506579</v>
      </c>
    </row>
    <row r="425" spans="1:10" x14ac:dyDescent="0.55000000000000004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4">
        <f ca="1">'Resultater - Vestdanmark'!H425+'Resultater - Østdanmark'!H425</f>
        <v>-606450.26032409817</v>
      </c>
      <c r="I425" s="255">
        <f ca="1">'Resultater - Vestdanmark'!I425+'Resultater - Østdanmark'!I425</f>
        <v>-630162.68470434938</v>
      </c>
      <c r="J425" s="256">
        <f ca="1">'Resultater - Vestdanmark'!J425+'Resultater - Østdanmark'!J425</f>
        <v>-1489290.6300438091</v>
      </c>
    </row>
    <row r="426" spans="1:10" x14ac:dyDescent="0.55000000000000004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4">
        <f>'Resultater - Vestdanmark'!H426+'Resultater - Østdanmark'!H426</f>
        <v>3383628.2</v>
      </c>
      <c r="I426" s="255">
        <f>'Resultater - Vestdanmark'!I426+'Resultater - Østdanmark'!I426</f>
        <v>1983844.8145560268</v>
      </c>
      <c r="J426" s="256">
        <f>'Resultater - Vestdanmark'!J426+'Resultater - Østdanmark'!J426</f>
        <v>206197.22808631693</v>
      </c>
    </row>
    <row r="427" spans="1:10" x14ac:dyDescent="0.55000000000000004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4">
        <f>'Resultater - Vestdanmark'!H427+'Resultater - Østdanmark'!H427</f>
        <v>131725</v>
      </c>
      <c r="I427" s="255">
        <f>'Resultater - Vestdanmark'!I427+'Resultater - Østdanmark'!I427</f>
        <v>77231.286285352704</v>
      </c>
      <c r="J427" s="256">
        <f>'Resultater - Vestdanmark'!J427+'Resultater - Østdanmark'!J427</f>
        <v>8027.2796726514161</v>
      </c>
    </row>
    <row r="428" spans="1:10" x14ac:dyDescent="0.55000000000000004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4">
        <f>'Resultater - Vestdanmark'!H428+'Resultater - Østdanmark'!H428</f>
        <v>17308.665000000001</v>
      </c>
      <c r="I428" s="255">
        <f>'Resultater - Vestdanmark'!I428+'Resultater - Østdanmark'!I428</f>
        <v>10148.191017895344</v>
      </c>
      <c r="J428" s="256">
        <f>'Resultater - Vestdanmark'!J428+'Resultater - Østdanmark'!J428</f>
        <v>1054.7845489863962</v>
      </c>
    </row>
    <row r="429" spans="1:10" x14ac:dyDescent="0.55000000000000004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4">
        <f>'Resultater - Vestdanmark'!H429+'Resultater - Østdanmark'!H429</f>
        <v>1753646.8000000003</v>
      </c>
      <c r="I429" s="255">
        <f>'Resultater - Vestdanmark'!I429+'Resultater - Østdanmark'!I429</f>
        <v>1028175.3505727286</v>
      </c>
      <c r="J429" s="256">
        <f>'Resultater - Vestdanmark'!J429+'Resultater - Østdanmark'!J429</f>
        <v>106866.67914708829</v>
      </c>
    </row>
    <row r="430" spans="1:10" x14ac:dyDescent="0.55000000000000004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4">
        <f>'Resultater - Vestdanmark'!H430+'Resultater - Østdanmark'!H430</f>
        <v>1601127.6966659406</v>
      </c>
      <c r="I430" s="255">
        <f>'Resultater - Vestdanmark'!I430+'Resultater - Østdanmark'!I430</f>
        <v>824107.32783310371</v>
      </c>
      <c r="J430" s="256">
        <f>'Resultater - Vestdanmark'!J430+'Resultater - Østdanmark'!J430</f>
        <v>37593.267629410817</v>
      </c>
    </row>
    <row r="431" spans="1:10" x14ac:dyDescent="0.55000000000000004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4">
        <f>'Resultater - Vestdanmark'!H431+'Resultater - Østdanmark'!H431</f>
        <v>22728.326432774025</v>
      </c>
      <c r="I431" s="255">
        <f>'Resultater - Vestdanmark'!I431+'Resultater - Østdanmark'!I431</f>
        <v>15788.602406155816</v>
      </c>
      <c r="J431" s="256">
        <f>'Resultater - Vestdanmark'!J431+'Resultater - Østdanmark'!J431</f>
        <v>720.2279796608949</v>
      </c>
    </row>
    <row r="432" spans="1:10" x14ac:dyDescent="0.55000000000000004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4">
        <f>'Resultater - Vestdanmark'!H432+'Resultater - Østdanmark'!H432</f>
        <v>142794.72651993899</v>
      </c>
      <c r="I432" s="255">
        <f>'Resultater - Vestdanmark'!I432+'Resultater - Østdanmark'!I432</f>
        <v>73497.0613187501</v>
      </c>
      <c r="J432" s="256">
        <f>'Resultater - Vestdanmark'!J432+'Resultater - Østdanmark'!J432</f>
        <v>3352.7122048483293</v>
      </c>
    </row>
    <row r="433" spans="1:10" x14ac:dyDescent="0.55000000000000004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4">
        <f>'Resultater - Vestdanmark'!H433+'Resultater - Østdanmark'!H433</f>
        <v>140895.61996077577</v>
      </c>
      <c r="I433" s="255">
        <f>'Resultater - Vestdanmark'!I433+'Resultater - Østdanmark'!I433</f>
        <v>72519.58298582182</v>
      </c>
      <c r="J433" s="256">
        <f>'Resultater - Vestdanmark'!J433+'Resultater - Østdanmark'!J433</f>
        <v>3308.1226188433793</v>
      </c>
    </row>
    <row r="434" spans="1:10" x14ac:dyDescent="0.55000000000000004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4">
        <f>'Resultater - Vestdanmark'!H434+'Resultater - Østdanmark'!H434</f>
        <v>115671.91919191919</v>
      </c>
      <c r="I434" s="255">
        <f>'Resultater - Vestdanmark'!I434+'Resultater - Østdanmark'!I434</f>
        <v>60160.637598397458</v>
      </c>
      <c r="J434" s="256">
        <f>'Resultater - Vestdanmark'!J434+'Resultater - Østdanmark'!J434</f>
        <v>3877.9934653468558</v>
      </c>
    </row>
    <row r="435" spans="1:10" x14ac:dyDescent="0.55000000000000004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4">
        <f>'Resultater - Vestdanmark'!H435+'Resultater - Østdanmark'!H435</f>
        <v>50006.545454545456</v>
      </c>
      <c r="I435" s="255">
        <f>'Resultater - Vestdanmark'!I435+'Resultater - Østdanmark'!I435</f>
        <v>29178.396760649015</v>
      </c>
      <c r="J435" s="256">
        <f>'Resultater - Vestdanmark'!J435+'Resultater - Østdanmark'!J435</f>
        <v>1880.8582568963482</v>
      </c>
    </row>
    <row r="436" spans="1:10" x14ac:dyDescent="0.55000000000000004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4">
        <f>'Resultater - Vestdanmark'!H436+'Resultater - Østdanmark'!H436</f>
        <v>7405.2525252525256</v>
      </c>
      <c r="I436" s="255">
        <f>'Resultater - Vestdanmark'!I436+'Resultater - Østdanmark'!I436</f>
        <v>3851.4508673204209</v>
      </c>
      <c r="J436" s="256">
        <f>'Resultater - Vestdanmark'!J436+'Resultater - Østdanmark'!J436</f>
        <v>248.26700466969342</v>
      </c>
    </row>
    <row r="437" spans="1:10" x14ac:dyDescent="0.55000000000000004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4">
        <f>'Resultater - Vestdanmark'!H437+'Resultater - Østdanmark'!H437</f>
        <v>76114.747474747448</v>
      </c>
      <c r="I437" s="255">
        <f>'Resultater - Vestdanmark'!I437+'Resultater - Østdanmark'!I437</f>
        <v>39587.064610939</v>
      </c>
      <c r="J437" s="256">
        <f>'Resultater - Vestdanmark'!J437+'Resultater - Østdanmark'!J437</f>
        <v>2551.8076935669746</v>
      </c>
    </row>
    <row r="438" spans="1:10" x14ac:dyDescent="0.55000000000000004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4">
        <f>'Resultater - Vestdanmark'!H438+'Resultater - Østdanmark'!H438</f>
        <v>201545.30567673693</v>
      </c>
      <c r="I438" s="255">
        <f>'Resultater - Vestdanmark'!I438+'Resultater - Østdanmark'!I438</f>
        <v>106887.81651997143</v>
      </c>
      <c r="J438" s="256">
        <f>'Resultater - Vestdanmark'!J438+'Resultater - Østdanmark'!J438</f>
        <v>6505.3390543143432</v>
      </c>
    </row>
    <row r="439" spans="1:10" ht="14.7" thickBot="1" x14ac:dyDescent="0.6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7">
        <f>'Resultater - Vestdanmark'!H439+'Resultater - Østdanmark'!H439</f>
        <v>550.81037157810442</v>
      </c>
      <c r="I439" s="258">
        <f>'Resultater - Vestdanmark'!I439+'Resultater - Østdanmark'!I439</f>
        <v>394.25394887590943</v>
      </c>
      <c r="J439" s="259">
        <f>'Resultater - Vestdanmark'!J439+'Resultater - Østdanmark'!J439</f>
        <v>23.994835842314107</v>
      </c>
    </row>
    <row r="440" spans="1:10" x14ac:dyDescent="0.55000000000000004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51">
        <f>'Resultater - Vestdanmark'!H440+'Resultater - Østdanmark'!H440</f>
        <v>5940049093.1121235</v>
      </c>
      <c r="I440" s="252">
        <f>'Resultater - Vestdanmark'!I440+'Resultater - Østdanmark'!I440</f>
        <v>4012008661.4358048</v>
      </c>
      <c r="J440" s="253">
        <f>'Resultater - Vestdanmark'!J440+'Resultater - Østdanmark'!J440</f>
        <v>506480603.84249818</v>
      </c>
    </row>
    <row r="441" spans="1:10" x14ac:dyDescent="0.55000000000000004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4">
        <f>'Resultater - Vestdanmark'!H441+'Resultater - Østdanmark'!H441</f>
        <v>164945487.85478973</v>
      </c>
      <c r="I441" s="255">
        <f>'Resultater - Vestdanmark'!I441+'Resultater - Østdanmark'!I441</f>
        <v>111406945.55968034</v>
      </c>
      <c r="J441" s="256">
        <f>'Resultater - Vestdanmark'!J441+'Resultater - Østdanmark'!J441</f>
        <v>14064141.386754101</v>
      </c>
    </row>
    <row r="442" spans="1:10" x14ac:dyDescent="0.55000000000000004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4">
        <f>'Resultater - Vestdanmark'!H442+'Resultater - Østdanmark'!H442</f>
        <v>0</v>
      </c>
      <c r="I442" s="255">
        <f>'Resultater - Vestdanmark'!I442+'Resultater - Østdanmark'!I442</f>
        <v>0</v>
      </c>
      <c r="J442" s="256">
        <f>'Resultater - Vestdanmark'!J442+'Resultater - Østdanmark'!J442</f>
        <v>0</v>
      </c>
    </row>
    <row r="443" spans="1:10" x14ac:dyDescent="0.55000000000000004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4">
        <f>'Resultater - Vestdanmark'!H443+'Resultater - Østdanmark'!H443</f>
        <v>78449683.248009756</v>
      </c>
      <c r="I443" s="255">
        <f>'Resultater - Vestdanmark'!I443+'Resultater - Østdanmark'!I443</f>
        <v>52986230.205213815</v>
      </c>
      <c r="J443" s="256">
        <f>'Resultater - Vestdanmark'!J443+'Resultater - Østdanmark'!J443</f>
        <v>6689042.8546757298</v>
      </c>
    </row>
    <row r="444" spans="1:10" x14ac:dyDescent="0.55000000000000004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4">
        <f>'Resultater - Vestdanmark'!H444+'Resultater - Østdanmark'!H444</f>
        <v>143824419.28801787</v>
      </c>
      <c r="I444" s="255">
        <f>'Resultater - Vestdanmark'!I444+'Resultater - Østdanmark'!I444</f>
        <v>97141422.042891979</v>
      </c>
      <c r="J444" s="256">
        <f>'Resultater - Vestdanmark'!J444+'Resultater - Østdanmark'!J444</f>
        <v>12263245.233572174</v>
      </c>
    </row>
    <row r="445" spans="1:10" x14ac:dyDescent="0.55000000000000004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4">
        <f>'Resultater - Vestdanmark'!H445+'Resultater - Østdanmark'!H445</f>
        <v>1682645129.1528244</v>
      </c>
      <c r="I445" s="255">
        <f>'Resultater - Vestdanmark'!I445+'Resultater - Østdanmark'!I445</f>
        <v>1136486706.8374705</v>
      </c>
      <c r="J445" s="256">
        <f>'Resultater - Vestdanmark'!J445+'Resultater - Østdanmark'!J445</f>
        <v>143471393.53682688</v>
      </c>
    </row>
    <row r="446" spans="1:10" x14ac:dyDescent="0.55000000000000004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4">
        <f>'Resultater - Vestdanmark'!H446+'Resultater - Østdanmark'!H446</f>
        <v>242389405.93295321</v>
      </c>
      <c r="I446" s="255">
        <f>'Resultater - Vestdanmark'!I446+'Resultater - Østdanmark'!I446</f>
        <v>163713865.12123755</v>
      </c>
      <c r="J446" s="256">
        <f>'Resultater - Vestdanmark'!J446+'Resultater - Østdanmark'!J446</f>
        <v>20667427.281754501</v>
      </c>
    </row>
    <row r="447" spans="1:10" x14ac:dyDescent="0.55000000000000004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4">
        <f>'Resultater - Vestdanmark'!H447+'Resultater - Østdanmark'!H447</f>
        <v>0</v>
      </c>
      <c r="I447" s="255">
        <f>'Resultater - Vestdanmark'!I447+'Resultater - Østdanmark'!I447</f>
        <v>0</v>
      </c>
      <c r="J447" s="256">
        <f>'Resultater - Vestdanmark'!J447+'Resultater - Østdanmark'!J447</f>
        <v>0</v>
      </c>
    </row>
    <row r="448" spans="1:10" x14ac:dyDescent="0.55000000000000004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4">
        <f>'Resultater - Vestdanmark'!H448+'Resultater - Østdanmark'!H448</f>
        <v>0</v>
      </c>
      <c r="I448" s="255">
        <f>'Resultater - Vestdanmark'!I448+'Resultater - Østdanmark'!I448</f>
        <v>0</v>
      </c>
      <c r="J448" s="256">
        <f>'Resultater - Vestdanmark'!J448+'Resultater - Østdanmark'!J448</f>
        <v>0</v>
      </c>
    </row>
    <row r="449" spans="1:10" x14ac:dyDescent="0.55000000000000004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4">
        <f>'Resultater - Vestdanmark'!H449+'Resultater - Østdanmark'!H449</f>
        <v>2285098465.8907456</v>
      </c>
      <c r="I449" s="255">
        <f>'Resultater - Vestdanmark'!I449+'Resultater - Østdanmark'!I449</f>
        <v>1543393782.3877664</v>
      </c>
      <c r="J449" s="256">
        <f>'Resultater - Vestdanmark'!J449+'Resultater - Østdanmark'!J449</f>
        <v>194839812.38234943</v>
      </c>
    </row>
    <row r="450" spans="1:10" x14ac:dyDescent="0.55000000000000004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4">
        <f>'Resultater - Vestdanmark'!H450+'Resultater - Østdanmark'!H450</f>
        <v>163939722.68494347</v>
      </c>
      <c r="I450" s="255">
        <f>'Resultater - Vestdanmark'!I450+'Resultater - Østdanmark'!I450</f>
        <v>110727634.91602375</v>
      </c>
      <c r="J450" s="256">
        <f>'Resultater - Vestdanmark'!J450+'Resultater - Østdanmark'!J450</f>
        <v>13978384.427078769</v>
      </c>
    </row>
    <row r="451" spans="1:10" x14ac:dyDescent="0.55000000000000004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4">
        <f>'Resultater - Vestdanmark'!H451+'Resultater - Østdanmark'!H451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'Resultater - Vestdanmark'!J451+'Resultater - Østdanmark'!J451</f>
        <v>0</v>
      </c>
    </row>
    <row r="452" spans="1:10" x14ac:dyDescent="0.55000000000000004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4">
        <f>'Resultater - Vestdanmark'!H452+'Resultater - Østdanmark'!H452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'Resultater - Vestdanmark'!J452+'Resultater - Østdanmark'!J452</f>
        <v>0</v>
      </c>
    </row>
    <row r="453" spans="1:10" x14ac:dyDescent="0.55000000000000004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4">
        <f>'Resultater - Vestdanmark'!H453+'Resultater - Østdanmark'!H453</f>
        <v>121697585.55139975</v>
      </c>
      <c r="I453" s="255">
        <f>'Resultater - Vestdanmark'!I453+'Resultater - Østdanmark'!I453</f>
        <v>82196587.882447079</v>
      </c>
      <c r="J453" s="256">
        <f>'Resultater - Vestdanmark'!J453+'Resultater - Østdanmark'!J453</f>
        <v>10376592.120714916</v>
      </c>
    </row>
    <row r="454" spans="1:10" x14ac:dyDescent="0.55000000000000004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4">
        <f>'Resultater - Vestdanmark'!H454+'Resultater - Østdanmark'!H454</f>
        <v>4029095270.4041944</v>
      </c>
      <c r="I454" s="255">
        <f>'Resultater - Vestdanmark'!I454+'Resultater - Østdanmark'!I454</f>
        <v>2721318438.4882894</v>
      </c>
      <c r="J454" s="256">
        <f>'Resultater - Vestdanmark'!J454+'Resultater - Østdanmark'!J454</f>
        <v>343542380.45937151</v>
      </c>
    </row>
    <row r="455" spans="1:10" x14ac:dyDescent="0.55000000000000004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4">
        <f>'Resultater - Vestdanmark'!H455+'Resultater - Østdanmark'!H455</f>
        <v>12195000.399999995</v>
      </c>
      <c r="I455" s="255">
        <f>'Resultater - Vestdanmark'!I455+'Resultater - Østdanmark'!I455</f>
        <v>0</v>
      </c>
      <c r="J455" s="256">
        <f>'Resultater - Vestdanmark'!J455+'Resultater - Østdanmark'!J455</f>
        <v>0</v>
      </c>
    </row>
    <row r="456" spans="1:10" x14ac:dyDescent="0.55000000000000004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4">
        <f>'Resultater - Vestdanmark'!H456+'Resultater - Østdanmark'!H456</f>
        <v>361184.4</v>
      </c>
      <c r="I456" s="255">
        <f>'Resultater - Vestdanmark'!I456+'Resultater - Østdanmark'!I456</f>
        <v>0</v>
      </c>
      <c r="J456" s="256">
        <f>'Resultater - Vestdanmark'!J456+'Resultater - Østdanmark'!J456</f>
        <v>0</v>
      </c>
    </row>
    <row r="457" spans="1:10" x14ac:dyDescent="0.55000000000000004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4">
        <f>'Resultater - Vestdanmark'!H457+'Resultater - Østdanmark'!H457</f>
        <v>4390946.2499999981</v>
      </c>
      <c r="I457" s="255">
        <f>'Resultater - Vestdanmark'!I457+'Resultater - Østdanmark'!I457</f>
        <v>0</v>
      </c>
      <c r="J457" s="256">
        <f>'Resultater - Vestdanmark'!J457+'Resultater - Østdanmark'!J457</f>
        <v>0</v>
      </c>
    </row>
    <row r="458" spans="1:10" x14ac:dyDescent="0.55000000000000004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4">
        <f>'Resultater - Vestdanmark'!H458+'Resultater - Østdanmark'!H458</f>
        <v>34978432</v>
      </c>
      <c r="I458" s="255">
        <f>'Resultater - Vestdanmark'!I458+'Resultater - Østdanmark'!I458</f>
        <v>68584093.21201916</v>
      </c>
      <c r="J458" s="256">
        <f>'Resultater - Vestdanmark'!J458+'Resultater - Østdanmark'!J458</f>
        <v>0</v>
      </c>
    </row>
    <row r="459" spans="1:10" x14ac:dyDescent="0.55000000000000004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60">
        <f>'Resultater - Vestdanmark'!H459+'Resultater - Østdanmark'!H459</f>
        <v>-37099.291058504961</v>
      </c>
      <c r="I459" s="261">
        <f>'Resultater - Vestdanmark'!I459+'Resultater - Østdanmark'!I459</f>
        <v>-72742.575655087479</v>
      </c>
      <c r="J459" s="262">
        <f>'Resultater - Vestdanmark'!J459+'Resultater - Østdanmark'!J459</f>
        <v>0</v>
      </c>
    </row>
    <row r="460" spans="1:10" x14ac:dyDescent="0.55000000000000004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4">
        <f>'Resultater - Vestdanmark'!H460+'Resultater - Østdanmark'!H460</f>
        <v>61384486.300000004</v>
      </c>
      <c r="I460" s="255">
        <f>'Resultater - Vestdanmark'!I460+'Resultater - Østdanmark'!I460</f>
        <v>86714787.420565188</v>
      </c>
      <c r="J460" s="256">
        <f>'Resultater - Vestdanmark'!J460+'Resultater - Østdanmark'!J460</f>
        <v>10667476.886426445</v>
      </c>
    </row>
    <row r="461" spans="1:10" x14ac:dyDescent="0.55000000000000004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60">
        <f>'Resultater - Vestdanmark'!H461+'Resultater - Østdanmark'!H461</f>
        <v>-128107.91983655478</v>
      </c>
      <c r="I461" s="261">
        <f>'Resultater - Vestdanmark'!I461+'Resultater - Østdanmark'!I461</f>
        <v>-180971.6380328763</v>
      </c>
      <c r="J461" s="262">
        <f>'Resultater - Vestdanmark'!J461+'Resultater - Østdanmark'!J461</f>
        <v>-22262.763056218977</v>
      </c>
    </row>
    <row r="462" spans="1:10" x14ac:dyDescent="0.55000000000000004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4">
        <f>'Resultater - Vestdanmark'!H462+'Resultater - Østdanmark'!H462</f>
        <v>58183.649999999994</v>
      </c>
      <c r="I462" s="255">
        <f>'Resultater - Vestdanmark'!I462+'Resultater - Østdanmark'!I462</f>
        <v>86096.767844558548</v>
      </c>
      <c r="J462" s="256">
        <f>'Resultater - Vestdanmark'!J462+'Resultater - Østdanmark'!J462</f>
        <v>71800.707180841913</v>
      </c>
    </row>
    <row r="463" spans="1:10" x14ac:dyDescent="0.55000000000000004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4">
        <f>'Resultater - Vestdanmark'!H463+'Resultater - Østdanmark'!H463</f>
        <v>45425220.000000007</v>
      </c>
      <c r="I463" s="255">
        <f>'Resultater - Vestdanmark'!I463+'Resultater - Østdanmark'!I463</f>
        <v>126368636.94628483</v>
      </c>
      <c r="J463" s="256">
        <f>'Resultater - Vestdanmark'!J463+'Resultater - Østdanmark'!J463</f>
        <v>24426122.518420938</v>
      </c>
    </row>
    <row r="464" spans="1:10" x14ac:dyDescent="0.55000000000000004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4">
        <f>'Resultater - Vestdanmark'!H464+'Resultater - Østdanmark'!H464</f>
        <v>33002600</v>
      </c>
      <c r="I464" s="255">
        <f>'Resultater - Vestdanmark'!I464+'Resultater - Østdanmark'!I464</f>
        <v>0</v>
      </c>
      <c r="J464" s="256">
        <f>'Resultater - Vestdanmark'!J464+'Resultater - Østdanmark'!J464</f>
        <v>0</v>
      </c>
    </row>
    <row r="465" spans="1:12" x14ac:dyDescent="0.55000000000000004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4">
        <f>'Resultater - Vestdanmark'!H465+'Resultater - Østdanmark'!H465</f>
        <v>2165561.9999999995</v>
      </c>
      <c r="I465" s="255">
        <f>'Resultater - Vestdanmark'!I465+'Resultater - Østdanmark'!I465</f>
        <v>0</v>
      </c>
      <c r="J465" s="256">
        <f>'Resultater - Vestdanmark'!J465+'Resultater - Østdanmark'!J465</f>
        <v>0</v>
      </c>
    </row>
    <row r="466" spans="1:12" x14ac:dyDescent="0.55000000000000004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4">
        <f ca="1">'Resultater - Vestdanmark'!H466+'Resultater - Østdanmark'!H466</f>
        <v>69194816.600000009</v>
      </c>
      <c r="I466" s="255">
        <f ca="1">'Resultater - Vestdanmark'!I466+'Resultater - Østdanmark'!I466</f>
        <v>0</v>
      </c>
      <c r="J466" s="256">
        <f ca="1">'Resultater - Vestdanmark'!J466+'Resultater - Østdanmark'!J466</f>
        <v>0</v>
      </c>
    </row>
    <row r="467" spans="1:12" x14ac:dyDescent="0.55000000000000004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4">
        <f>'Resultater - Vestdanmark'!H467+'Resultater - Østdanmark'!H467</f>
        <v>102149122.13</v>
      </c>
      <c r="I467" s="255">
        <f>'Resultater - Vestdanmark'!I467+'Resultater - Østdanmark'!I467</f>
        <v>0</v>
      </c>
      <c r="J467" s="256">
        <f>'Resultater - Vestdanmark'!J467+'Resultater - Østdanmark'!J467</f>
        <v>0</v>
      </c>
    </row>
    <row r="468" spans="1:12" x14ac:dyDescent="0.55000000000000004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4">
        <f>'Resultater - Vestdanmark'!H468+'Resultater - Østdanmark'!H468</f>
        <v>0</v>
      </c>
      <c r="I468" s="255">
        <f>'Resultater - Vestdanmark'!I468+'Resultater - Østdanmark'!I468</f>
        <v>0</v>
      </c>
      <c r="J468" s="256">
        <f>'Resultater - Vestdanmark'!J468+'Resultater - Østdanmark'!J468</f>
        <v>0</v>
      </c>
    </row>
    <row r="469" spans="1:12" x14ac:dyDescent="0.55000000000000004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4">
        <f>'Resultater - Vestdanmark'!H469+'Resultater - Østdanmark'!H469</f>
        <v>0</v>
      </c>
      <c r="I469" s="255">
        <f>'Resultater - Vestdanmark'!I469+'Resultater - Østdanmark'!I469</f>
        <v>0</v>
      </c>
      <c r="J469" s="256">
        <f>'Resultater - Vestdanmark'!J469+'Resultater - Østdanmark'!J469</f>
        <v>0</v>
      </c>
    </row>
    <row r="470" spans="1:12" x14ac:dyDescent="0.55000000000000004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4">
        <f>'Resultater - Vestdanmark'!H470+'Resultater - Østdanmark'!H470</f>
        <v>3689.3999999999996</v>
      </c>
      <c r="I470" s="255">
        <f>'Resultater - Vestdanmark'!I470+'Resultater - Østdanmark'!I470</f>
        <v>35475000</v>
      </c>
      <c r="J470" s="256">
        <f>'Resultater - Vestdanmark'!J470+'Resultater - Østdanmark'!J470</f>
        <v>46354000</v>
      </c>
    </row>
    <row r="471" spans="1:12" x14ac:dyDescent="0.55000000000000004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4">
        <f>'Resultater - Vestdanmark'!H471+'Resultater - Østdanmark'!H471</f>
        <v>0</v>
      </c>
      <c r="I471" s="255">
        <f>'Resultater - Vestdanmark'!I471+'Resultater - Østdanmark'!I471</f>
        <v>0</v>
      </c>
      <c r="J471" s="256">
        <f>'Resultater - Vestdanmark'!J471+'Resultater - Østdanmark'!J471</f>
        <v>0</v>
      </c>
    </row>
    <row r="472" spans="1:12" x14ac:dyDescent="0.55000000000000004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4">
        <f>'Resultater - Vestdanmark'!H472+'Resultater - Østdanmark'!H472</f>
        <v>60431253.120000005</v>
      </c>
      <c r="I472" s="255">
        <f>'Resultater - Vestdanmark'!I472+'Resultater - Østdanmark'!I472</f>
        <v>60431253.120000005</v>
      </c>
      <c r="J472" s="256">
        <f>'Resultater - Vestdanmark'!J472+'Resultater - Østdanmark'!J472</f>
        <v>60431253.120000005</v>
      </c>
    </row>
    <row r="473" spans="1:12" x14ac:dyDescent="0.55000000000000004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4">
        <f>'Resultater - Vestdanmark'!H473+'Resultater - Østdanmark'!H473</f>
        <v>37096792.599999994</v>
      </c>
      <c r="I473" s="255">
        <f>'Resultater - Vestdanmark'!I473+'Resultater - Østdanmark'!I473</f>
        <v>75735347.74946475</v>
      </c>
      <c r="J473" s="256">
        <f>'Resultater - Vestdanmark'!J473+'Resultater - Østdanmark'!J473</f>
        <v>93851884.535214618</v>
      </c>
      <c r="L473" s="94"/>
    </row>
    <row r="474" spans="1:12" x14ac:dyDescent="0.55000000000000004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60">
        <f ca="1">'Resultater - Vestdanmark'!H474+'Resultater - Østdanmark'!H474</f>
        <v>12034020.807749998</v>
      </c>
      <c r="I474" s="261">
        <f ca="1">'Resultater - Vestdanmark'!I474+'Resultater - Østdanmark'!I474</f>
        <v>18679597.222446498</v>
      </c>
      <c r="J474" s="262">
        <f ca="1">'Resultater - Vestdanmark'!J474+'Resultater - Østdanmark'!J474</f>
        <v>8313981.6995309032</v>
      </c>
    </row>
    <row r="475" spans="1:12" x14ac:dyDescent="0.55000000000000004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60">
        <f>'Resultater - Vestdanmark'!H475+'Resultater - Østdanmark'!H475</f>
        <v>78133292.533333316</v>
      </c>
      <c r="I475" s="261">
        <f>'Resultater - Vestdanmark'!I475+'Resultater - Østdanmark'!I475</f>
        <v>10097102.611769486</v>
      </c>
      <c r="J475" s="262">
        <f>'Resultater - Vestdanmark'!J475+'Resultater - Østdanmark'!J475</f>
        <v>0</v>
      </c>
    </row>
    <row r="476" spans="1:12" x14ac:dyDescent="0.55000000000000004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60">
        <f>'Resultater - Vestdanmark'!H476+'Resultater - Østdanmark'!H476</f>
        <v>77571922.666666672</v>
      </c>
      <c r="I476" s="261">
        <f>'Resultater - Vestdanmark'!I476+'Resultater - Østdanmark'!I476</f>
        <v>16399959.795851575</v>
      </c>
      <c r="J476" s="262">
        <f>'Resultater - Vestdanmark'!J476+'Resultater - Østdanmark'!J476</f>
        <v>672496.57282436197</v>
      </c>
    </row>
    <row r="477" spans="1:12" x14ac:dyDescent="0.55000000000000004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60">
        <f>'Resultater - Vestdanmark'!H477+'Resultater - Østdanmark'!H477</f>
        <v>31090.5</v>
      </c>
      <c r="I477" s="261">
        <f>'Resultater - Vestdanmark'!I477+'Resultater - Østdanmark'!I477</f>
        <v>15335.302160608391</v>
      </c>
      <c r="J477" s="262">
        <f>'Resultater - Vestdanmark'!J477+'Resultater - Østdanmark'!J477</f>
        <v>4262.9766774036752</v>
      </c>
    </row>
    <row r="478" spans="1:12" x14ac:dyDescent="0.55000000000000004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60">
        <f>'Resultater - Vestdanmark'!H478+'Resultater - Østdanmark'!H478</f>
        <v>11532709.900000002</v>
      </c>
      <c r="I478" s="261">
        <f>'Resultater - Vestdanmark'!I478+'Resultater - Østdanmark'!I478</f>
        <v>3720854.3100850536</v>
      </c>
      <c r="J478" s="262">
        <f>'Resultater - Vestdanmark'!J478+'Resultater - Østdanmark'!J478</f>
        <v>239737.86916227947</v>
      </c>
    </row>
    <row r="479" spans="1:12" x14ac:dyDescent="0.55000000000000004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60">
        <f ca="1">'Resultater - Vestdanmark'!H479+'Resultater - Østdanmark'!H479</f>
        <v>61624442.148559391</v>
      </c>
      <c r="I479" s="261">
        <f ca="1">'Resultater - Vestdanmark'!I479+'Resultater - Østdanmark'!I479</f>
        <v>89624279.979773477</v>
      </c>
      <c r="J479" s="262">
        <f ca="1">'Resultater - Vestdanmark'!J479+'Resultater - Østdanmark'!J479</f>
        <v>5902214.3695723545</v>
      </c>
    </row>
    <row r="480" spans="1:12" x14ac:dyDescent="0.55000000000000004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60">
        <f ca="1">'Resultater - Vestdanmark'!H480+'Resultater - Østdanmark'!H480</f>
        <v>151170766.56868804</v>
      </c>
      <c r="I480" s="261">
        <f ca="1">'Resultater - Vestdanmark'!I480+'Resultater - Østdanmark'!I480</f>
        <v>306758147.55874294</v>
      </c>
      <c r="J480" s="262">
        <f ca="1">'Resultater - Vestdanmark'!J480+'Resultater - Østdanmark'!J480</f>
        <v>656692207.26897073</v>
      </c>
    </row>
    <row r="481" spans="1:13" x14ac:dyDescent="0.55000000000000004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4">
        <f>'Resultater - Vestdanmark'!H481+'Resultater - Østdanmark'!H481</f>
        <v>19.591464268115235</v>
      </c>
      <c r="I481" s="265">
        <f>'Resultater - Vestdanmark'!I481+'Resultater - Østdanmark'!I481</f>
        <v>20.989394572197444</v>
      </c>
      <c r="J481" s="266">
        <f>'Resultater - Vestdanmark'!J481+'Resultater - Østdanmark'!J481</f>
        <v>13.732936241351867</v>
      </c>
      <c r="L481" s="152" t="s">
        <v>215</v>
      </c>
      <c r="M481" s="150">
        <v>17963.28</v>
      </c>
    </row>
    <row r="482" spans="1:13" x14ac:dyDescent="0.55000000000000004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4">
        <f>'Resultater - Vestdanmark'!H482+'Resultater - Østdanmark'!H482</f>
        <v>3.9505661308495017</v>
      </c>
      <c r="I482" s="265">
        <f>'Resultater - Vestdanmark'!I482+'Resultater - Østdanmark'!I482</f>
        <v>7.0593376655015536</v>
      </c>
      <c r="J482" s="266">
        <f>'Resultater - Vestdanmark'!J482+'Resultater - Østdanmark'!J482</f>
        <v>14.654531654055848</v>
      </c>
      <c r="L482" s="152" t="s">
        <v>219</v>
      </c>
      <c r="M482" s="150">
        <v>14758.1</v>
      </c>
    </row>
    <row r="483" spans="1:13" x14ac:dyDescent="0.55000000000000004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3">
        <f>'Resultater - Vestdanmark'!H483+'Resultater - Østdanmark'!H483</f>
        <v>3.8615553516557766</v>
      </c>
      <c r="I483" s="265">
        <f>'Resultater - Vestdanmark'!I483+'Resultater - Østdanmark'!I483</f>
        <v>3.4599075397841306</v>
      </c>
      <c r="J483" s="266">
        <f>'Resultater - Vestdanmark'!J483+'Resultater - Østdanmark'!J483</f>
        <v>2.6408406192395568</v>
      </c>
      <c r="L483" s="152" t="s">
        <v>216</v>
      </c>
      <c r="M483" s="150">
        <v>1988.19</v>
      </c>
    </row>
    <row r="484" spans="1:13" x14ac:dyDescent="0.55000000000000004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3">
        <f ca="1">'Resultater - Vestdanmark'!H484+'Resultater - Østdanmark'!H484</f>
        <v>43.629875452920871</v>
      </c>
      <c r="I484" s="265">
        <f ca="1">'Resultater - Vestdanmark'!I484+'Resultater - Østdanmark'!I484</f>
        <v>41.66669115626091</v>
      </c>
      <c r="J484" s="266">
        <f ca="1">'Resultater - Vestdanmark'!J484+'Resultater - Østdanmark'!J484</f>
        <v>42.823268788341721</v>
      </c>
      <c r="L484" s="152" t="s">
        <v>217</v>
      </c>
      <c r="M484" s="150">
        <v>8944.93</v>
      </c>
    </row>
    <row r="485" spans="1:13" x14ac:dyDescent="0.55000000000000004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3">
        <f>'Resultater - Vestdanmark'!H485+'Resultater - Østdanmark'!H485</f>
        <v>17.543930524502301</v>
      </c>
      <c r="I485" s="265">
        <f>'Resultater - Vestdanmark'!I485+'Resultater - Østdanmark'!I485</f>
        <v>4.1561576071975512</v>
      </c>
      <c r="J485" s="266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x14ac:dyDescent="0.55000000000000004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3">
        <f ca="1">'Resultater - Vestdanmark'!H486+'Resultater - Østdanmark'!H486</f>
        <v>0</v>
      </c>
      <c r="I486" s="265">
        <f ca="1">'Resultater - Vestdanmark'!I486+'Resultater - Østdanmark'!I486</f>
        <v>6.4981185039678975</v>
      </c>
      <c r="J486" s="266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55000000000000004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3">
        <f>'Resultater - Vestdanmark'!H487+'Resultater - Østdanmark'!H487</f>
        <v>0</v>
      </c>
      <c r="I487" s="265">
        <f>'Resultater - Vestdanmark'!I487+'Resultater - Østdanmark'!I487</f>
        <v>0</v>
      </c>
      <c r="J487" s="266">
        <f>'Resultater - Vestdanmark'!J487+'Resultater - Østdanmark'!J487</f>
        <v>0</v>
      </c>
      <c r="L487" s="151"/>
      <c r="M487" s="150"/>
    </row>
    <row r="488" spans="1:13" x14ac:dyDescent="0.55000000000000004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3">
        <f>'Resultater - Vestdanmark'!H488+'Resultater - Østdanmark'!H488</f>
        <v>0</v>
      </c>
      <c r="I488" s="265">
        <f>'Resultater - Vestdanmark'!I488+'Resultater - Østdanmark'!I488</f>
        <v>0</v>
      </c>
      <c r="J488" s="266">
        <f>'Resultater - Vestdanmark'!J488+'Resultater - Østdanmark'!J488</f>
        <v>0</v>
      </c>
      <c r="L488" s="151"/>
      <c r="M488" s="150"/>
    </row>
    <row r="489" spans="1:13" x14ac:dyDescent="0.55000000000000004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7">
        <f ca="1">'Resultater - Vestdanmark'!H489+'Resultater - Østdanmark'!H489</f>
        <v>16.609927730843868</v>
      </c>
      <c r="I489" s="268">
        <f ca="1">'Resultater - Vestdanmark'!I489+'Resultater - Østdanmark'!I489</f>
        <v>16.267779885989412</v>
      </c>
      <c r="J489" s="269">
        <f ca="1">'Resultater - Vestdanmark'!J489+'Resultater - Østdanmark'!J489</f>
        <v>8.4645118726503021</v>
      </c>
    </row>
    <row r="490" spans="1:13" x14ac:dyDescent="0.55000000000000004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70">
        <f>'Resultater - Vestdanmark'!H490+'Resultater - Østdanmark'!H490</f>
        <v>0</v>
      </c>
      <c r="I490" s="271">
        <f>'Resultater - Vestdanmark'!I490+'Resultater - Østdanmark'!I490</f>
        <v>0</v>
      </c>
      <c r="J490" s="272">
        <f>'Resultater - Vestdanmark'!J490+'Resultater - Østdanmark'!J490</f>
        <v>0</v>
      </c>
    </row>
    <row r="491" spans="1:13" x14ac:dyDescent="0.55000000000000004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70">
        <f>'Resultater - Vestdanmark'!H491+'Resultater - Østdanmark'!H491</f>
        <v>0</v>
      </c>
      <c r="I491" s="271">
        <f>'Resultater - Vestdanmark'!I491+'Resultater - Østdanmark'!I491</f>
        <v>0</v>
      </c>
      <c r="J491" s="272">
        <f>'Resultater - Vestdanmark'!J491+'Resultater - Østdanmark'!J491</f>
        <v>0</v>
      </c>
    </row>
    <row r="492" spans="1:13" x14ac:dyDescent="0.55000000000000004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70">
        <f>'Resultater - Vestdanmark'!H492+'Resultater - Østdanmark'!H492</f>
        <v>0</v>
      </c>
      <c r="I492" s="271">
        <f>'Resultater - Vestdanmark'!I492+'Resultater - Østdanmark'!I492</f>
        <v>0</v>
      </c>
      <c r="J492" s="272">
        <f>'Resultater - Vestdanmark'!J492+'Resultater - Østdanmark'!J492</f>
        <v>0</v>
      </c>
    </row>
    <row r="493" spans="1:13" x14ac:dyDescent="0.55000000000000004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70">
        <f>'Resultater - Vestdanmark'!H493+'Resultater - Østdanmark'!H493</f>
        <v>339162.61425562343</v>
      </c>
      <c r="I493" s="271">
        <f>'Resultater - Vestdanmark'!I493+'Resultater - Østdanmark'!I493</f>
        <v>315149.00292417652</v>
      </c>
      <c r="J493" s="272">
        <f>'Resultater - Vestdanmark'!J493+'Resultater - Østdanmark'!J493</f>
        <v>654220.16312749335</v>
      </c>
    </row>
    <row r="494" spans="1:13" x14ac:dyDescent="0.55000000000000004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70">
        <f>'Resultater - Vestdanmark'!H494+'Resultater - Østdanmark'!H494</f>
        <v>217064.073123599</v>
      </c>
      <c r="I494" s="271">
        <f>'Resultater - Vestdanmark'!I494+'Resultater - Østdanmark'!I494</f>
        <v>201695.36187147297</v>
      </c>
      <c r="J494" s="272">
        <f>'Resultater - Vestdanmark'!J494+'Resultater - Østdanmark'!J494</f>
        <v>418700.9044015957</v>
      </c>
    </row>
    <row r="495" spans="1:13" x14ac:dyDescent="0.55000000000000004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70">
        <f>'Resultater - Vestdanmark'!H495+'Resultater - Østdanmark'!H495</f>
        <v>0</v>
      </c>
      <c r="I495" s="271">
        <f>'Resultater - Vestdanmark'!I495+'Resultater - Østdanmark'!I495</f>
        <v>0</v>
      </c>
      <c r="J495" s="272">
        <f>'Resultater - Vestdanmark'!J495+'Resultater - Østdanmark'!J495</f>
        <v>0</v>
      </c>
    </row>
    <row r="496" spans="1:13" x14ac:dyDescent="0.55000000000000004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70">
        <f>'Resultater - Vestdanmark'!H496+'Resultater - Østdanmark'!H496</f>
        <v>0</v>
      </c>
      <c r="I496" s="271">
        <f>'Resultater - Vestdanmark'!I496+'Resultater - Østdanmark'!I496</f>
        <v>0</v>
      </c>
      <c r="J496" s="272">
        <f>'Resultater - Vestdanmark'!J496+'Resultater - Østdanmark'!J496</f>
        <v>0</v>
      </c>
    </row>
    <row r="497" spans="1:10" ht="14.7" thickBot="1" x14ac:dyDescent="0.6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3">
        <f>'Resultater - Vestdanmark'!H497+'Resultater - Østdanmark'!H497</f>
        <v>0</v>
      </c>
      <c r="I497" s="274">
        <f>'Resultater - Vestdanmark'!I497+'Resultater - Østdanmark'!I497</f>
        <v>0</v>
      </c>
      <c r="J497" s="275">
        <f>'Resultater - Vestdanmark'!J497+'Resultater - Østdanmark'!J497</f>
        <v>0</v>
      </c>
    </row>
    <row r="498" spans="1:10" x14ac:dyDescent="0.55000000000000004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55000000000000004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55000000000000004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55000000000000004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55000000000000004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55000000000000004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55000000000000004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55000000000000004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55000000000000004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55000000000000004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55000000000000004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55000000000000004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55000000000000004">
      <c r="H510" s="93"/>
      <c r="I510" s="93"/>
      <c r="J510" s="93"/>
    </row>
    <row r="511" spans="1:10" x14ac:dyDescent="0.55000000000000004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E291"/>
  <sheetViews>
    <sheetView zoomScale="106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Q4" sqref="Q4"/>
    </sheetView>
  </sheetViews>
  <sheetFormatPr defaultColWidth="18" defaultRowHeight="14.4" x14ac:dyDescent="0.55000000000000004"/>
  <cols>
    <col min="1" max="2" width="18.15625" bestFit="1" customWidth="1"/>
    <col min="3" max="3" width="8.15625" bestFit="1" customWidth="1"/>
    <col min="4" max="4" width="8.15625" customWidth="1"/>
    <col min="5" max="5" width="7.83984375" customWidth="1"/>
    <col min="6" max="6" width="11.15625" bestFit="1" customWidth="1"/>
    <col min="7" max="7" width="14.26171875" bestFit="1" customWidth="1"/>
    <col min="8" max="9" width="12" bestFit="1" customWidth="1"/>
    <col min="10" max="10" width="9.15625" bestFit="1" customWidth="1"/>
    <col min="11" max="12" width="9.68359375" bestFit="1" customWidth="1"/>
    <col min="13" max="13" width="12" bestFit="1" customWidth="1"/>
    <col min="14" max="14" width="20.15625" bestFit="1" customWidth="1"/>
    <col min="15" max="15" width="26.41796875" bestFit="1" customWidth="1"/>
    <col min="16" max="16" width="21.41796875" bestFit="1" customWidth="1"/>
    <col min="17" max="17" width="20.578125" bestFit="1" customWidth="1"/>
    <col min="18" max="18" width="20.26171875" bestFit="1" customWidth="1"/>
    <col min="19" max="19" width="19.83984375" bestFit="1" customWidth="1"/>
    <col min="20" max="20" width="18.578125" bestFit="1" customWidth="1"/>
    <col min="21" max="21" width="23.68359375" bestFit="1" customWidth="1"/>
    <col min="22" max="22" width="24" bestFit="1" customWidth="1"/>
    <col min="23" max="23" width="23.41796875" bestFit="1" customWidth="1"/>
    <col min="24" max="24" width="22.26171875" bestFit="1" customWidth="1"/>
    <col min="25" max="25" width="27.41796875" bestFit="1" customWidth="1"/>
  </cols>
  <sheetData>
    <row r="1" spans="1:31" ht="14.7" thickTop="1" x14ac:dyDescent="0.55000000000000004">
      <c r="A1" s="428" t="s">
        <v>248</v>
      </c>
      <c r="B1" s="428"/>
      <c r="C1" s="428"/>
      <c r="D1" s="395"/>
      <c r="G1" s="429" t="s">
        <v>250</v>
      </c>
      <c r="H1" s="429"/>
      <c r="I1" s="429"/>
      <c r="J1" s="429"/>
      <c r="K1" s="429"/>
      <c r="L1" s="429"/>
      <c r="M1" s="429"/>
      <c r="N1" s="430"/>
      <c r="O1" s="431" t="s">
        <v>251</v>
      </c>
      <c r="P1" s="432"/>
      <c r="Q1" s="433"/>
      <c r="R1" s="425" t="s">
        <v>122</v>
      </c>
      <c r="S1" s="425"/>
      <c r="T1" s="425"/>
      <c r="U1" s="426"/>
      <c r="V1" s="427" t="s">
        <v>229</v>
      </c>
      <c r="W1" s="425"/>
      <c r="X1" s="425"/>
      <c r="Y1" s="426"/>
      <c r="AB1" s="424" t="s">
        <v>337</v>
      </c>
      <c r="AC1" s="424"/>
      <c r="AD1">
        <f>År1</f>
        <v>2019</v>
      </c>
      <c r="AE1">
        <f ca="1">SUMIF($E$4:$E$291,$AD1,AC$4:AC$291)</f>
        <v>19.960490719951665</v>
      </c>
    </row>
    <row r="2" spans="1:31" x14ac:dyDescent="0.55000000000000004">
      <c r="A2" s="395"/>
      <c r="B2" s="395"/>
      <c r="C2" s="395"/>
      <c r="D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D2">
        <f>År2</f>
        <v>2030</v>
      </c>
      <c r="AE2">
        <f ca="1">SUMIF($E$4:$E$291,$AD2,AC$4:AC$291)</f>
        <v>22.359108571608353</v>
      </c>
    </row>
    <row r="3" spans="1:31" x14ac:dyDescent="0.55000000000000004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91" t="s">
        <v>338</v>
      </c>
      <c r="AC3" s="91" t="s">
        <v>340</v>
      </c>
      <c r="AD3">
        <f>År3</f>
        <v>2050</v>
      </c>
      <c r="AE3">
        <f ca="1">SUMIF($E$4:$E$291,$AD3,AC$4:AC$291)</f>
        <v>17.658840532248178</v>
      </c>
    </row>
    <row r="4" spans="1:31" x14ac:dyDescent="0.55000000000000004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  <c r="AB4" s="94">
        <f>G4-SUMPRODUCT($H$2:$N$2,H4:N4)</f>
        <v>216549.9929685164</v>
      </c>
      <c r="AC4">
        <f>AB4*D4*10000*VLOOKUP(A4,[1]kcal!$A$2:$C$49,3,FALSE)/1000000000000</f>
        <v>0.29883899029655259</v>
      </c>
    </row>
    <row r="5" spans="1:31" x14ac:dyDescent="0.55000000000000004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  <c r="AB5" s="94">
        <f t="shared" ref="AB5:AB68" si="8">G5-SUMPRODUCT($H$2:$N$2,H5:N5)</f>
        <v>193898.88574926884</v>
      </c>
      <c r="AC5">
        <f>AB5*D5*10000*VLOOKUP(A5,[1]kcal!$A$2:$C$49,3,FALSE)/1000000000000</f>
        <v>1.3466277615286721</v>
      </c>
    </row>
    <row r="6" spans="1:31" x14ac:dyDescent="0.55000000000000004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B6" s="94">
        <f t="shared" ca="1" si="8"/>
        <v>-199952.34120163022</v>
      </c>
      <c r="AC6">
        <f ca="1">AB6*D6*10000*VLOOKUP(A6,[1]kcal!$A$2:$C$49,3,FALSE)/1000000000000</f>
        <v>0</v>
      </c>
    </row>
    <row r="7" spans="1:31" x14ac:dyDescent="0.55000000000000004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B7" s="94">
        <f t="shared" ca="1" si="8"/>
        <v>352020220.25091624</v>
      </c>
      <c r="AC7">
        <f ca="1">AB7*D7*10000*VLOOKUP(A7,[1]kcal!$A$2:$C$49,3,FALSE)/1000000000000</f>
        <v>0</v>
      </c>
    </row>
    <row r="8" spans="1:31" x14ac:dyDescent="0.55000000000000004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B8" s="94">
        <f ca="1">G8-SUMPRODUCT($H$2:$N$2,H8:N8)</f>
        <v>2569317.8008686416</v>
      </c>
      <c r="AC8">
        <f ca="1">AB8*D8*10000*VLOOKUP(A8,[1]kcal!$A$2:$C$49,3,FALSE)/1000000000000</f>
        <v>0</v>
      </c>
    </row>
    <row r="9" spans="1:31" x14ac:dyDescent="0.55000000000000004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B9" s="94">
        <f t="shared" si="8"/>
        <v>0</v>
      </c>
      <c r="AC9">
        <f>AB9*D9*10000*VLOOKUP(A9,[1]kcal!$A$2:$C$49,3,FALSE)/1000000000000</f>
        <v>0</v>
      </c>
    </row>
    <row r="10" spans="1:31" x14ac:dyDescent="0.55000000000000004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  <c r="AB10" s="94">
        <f t="shared" si="8"/>
        <v>1198807.4305444965</v>
      </c>
      <c r="AC10">
        <f>AB10*D10*10000*VLOOKUP(A10,[1]kcal!$A$2:$C$49,3,FALSE)/1000000000000</f>
        <v>0</v>
      </c>
    </row>
    <row r="11" spans="1:31" x14ac:dyDescent="0.55000000000000004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B11" s="94">
        <f t="shared" si="8"/>
        <v>0</v>
      </c>
      <c r="AC11">
        <f>AB11*D11*10000*VLOOKUP(A11,[1]kcal!$A$2:$C$49,3,FALSE)/1000000000000</f>
        <v>0</v>
      </c>
    </row>
    <row r="12" spans="1:31" x14ac:dyDescent="0.55000000000000004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  <c r="AB12" s="94">
        <f t="shared" si="8"/>
        <v>0</v>
      </c>
      <c r="AC12">
        <f>AB12*D12*10000*VLOOKUP(A12,[1]kcal!$A$2:$C$49,3,FALSE)/1000000000000</f>
        <v>0</v>
      </c>
    </row>
    <row r="13" spans="1:31" x14ac:dyDescent="0.55000000000000004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B13" s="94">
        <f t="shared" si="8"/>
        <v>185576.29959415729</v>
      </c>
      <c r="AC13">
        <f>AB13*D13*10000*VLOOKUP(A13,[1]kcal!$A$2:$C$49,3,FALSE)/1000000000000</f>
        <v>0.28207597538311907</v>
      </c>
    </row>
    <row r="14" spans="1:31" x14ac:dyDescent="0.55000000000000004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B14" s="94">
        <f t="shared" si="8"/>
        <v>887836.84200071916</v>
      </c>
      <c r="AC14">
        <f>AB14*D14*10000*VLOOKUP(A14,[1]kcal!$A$2:$C$49,3,FALSE)/1000000000000</f>
        <v>0</v>
      </c>
    </row>
    <row r="15" spans="1:31" x14ac:dyDescent="0.55000000000000004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B15" s="94">
        <f t="shared" si="8"/>
        <v>25948.722839676255</v>
      </c>
      <c r="AC15">
        <f>AB15*D15*10000*VLOOKUP(A15,[1]kcal!$A$2:$C$49,3,FALSE)/1000000000000</f>
        <v>1.3493335876631653E-2</v>
      </c>
    </row>
    <row r="16" spans="1:31" x14ac:dyDescent="0.55000000000000004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  <c r="AB16" s="94">
        <f t="shared" si="8"/>
        <v>-114193.60000000001</v>
      </c>
      <c r="AC16">
        <f>AB16*D16*10000*VLOOKUP(A16,[1]kcal!$A$2:$C$49,3,FALSE)/1000000000000</f>
        <v>0</v>
      </c>
    </row>
    <row r="17" spans="1:29" x14ac:dyDescent="0.55000000000000004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9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10">G17-SUM(H17:N17)</f>
        <v>3451069.2602304816</v>
      </c>
      <c r="P17" s="94">
        <f t="shared" si="4"/>
        <v>3451069.2602304816</v>
      </c>
      <c r="Q17" s="180">
        <f t="shared" ref="Q17:Q82" si="11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2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3">W17-X17</f>
        <v>0</v>
      </c>
      <c r="Z17">
        <f t="shared" si="1"/>
        <v>0</v>
      </c>
      <c r="AA17">
        <f t="shared" si="2"/>
        <v>1</v>
      </c>
      <c r="AB17" s="94">
        <f t="shared" si="8"/>
        <v>3451069.2602304816</v>
      </c>
      <c r="AC17">
        <f>AB17*D17*10000*VLOOKUP(A17,[1]kcal!$A$2:$C$49,3,FALSE)/1000000000000</f>
        <v>0</v>
      </c>
    </row>
    <row r="18" spans="1:29" x14ac:dyDescent="0.55000000000000004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9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10"/>
        <v>0</v>
      </c>
      <c r="P18" s="94">
        <f t="shared" si="4"/>
        <v>0</v>
      </c>
      <c r="Q18" s="180">
        <f t="shared" si="11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2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3"/>
        <v>0</v>
      </c>
      <c r="Z18">
        <f t="shared" si="1"/>
        <v>0</v>
      </c>
      <c r="AA18">
        <f t="shared" si="2"/>
        <v>0</v>
      </c>
      <c r="AB18" s="94">
        <f t="shared" si="8"/>
        <v>0</v>
      </c>
      <c r="AC18">
        <f>AB18*D18*10000*VLOOKUP(A18,[1]kcal!$A$2:$C$49,3,FALSE)/1000000000000</f>
        <v>0</v>
      </c>
    </row>
    <row r="19" spans="1:29" x14ac:dyDescent="0.55000000000000004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9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10"/>
        <v>-76351.578443047096</v>
      </c>
      <c r="P19" s="94">
        <f t="shared" si="4"/>
        <v>0</v>
      </c>
      <c r="Q19" s="180">
        <f t="shared" si="11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2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3"/>
        <v>0</v>
      </c>
      <c r="Z19">
        <f t="shared" si="1"/>
        <v>1</v>
      </c>
      <c r="AA19">
        <f t="shared" si="2"/>
        <v>0</v>
      </c>
      <c r="AB19" s="94">
        <f t="shared" si="8"/>
        <v>185022.9677154524</v>
      </c>
      <c r="AC19">
        <f>AB19*D19*10000*VLOOKUP(A19,[1]kcal!$A$2:$C$49,3,FALSE)/1000000000000</f>
        <v>7.2158957409026434E-2</v>
      </c>
    </row>
    <row r="20" spans="1:29" x14ac:dyDescent="0.55000000000000004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9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10"/>
        <v>0</v>
      </c>
      <c r="P20" s="94">
        <f t="shared" si="4"/>
        <v>0</v>
      </c>
      <c r="Q20" s="180">
        <f t="shared" si="11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2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3"/>
        <v>988413.09140597016</v>
      </c>
      <c r="Z20">
        <f t="shared" si="1"/>
        <v>0</v>
      </c>
      <c r="AA20">
        <f t="shared" si="2"/>
        <v>0</v>
      </c>
      <c r="AB20" s="94">
        <f t="shared" si="8"/>
        <v>1162838.9310658486</v>
      </c>
      <c r="AC20">
        <f>AB20*D20*10000*VLOOKUP(A20,[1]kcal!$A$2:$C$49,3,FALSE)/1000000000000</f>
        <v>0</v>
      </c>
    </row>
    <row r="21" spans="1:29" x14ac:dyDescent="0.55000000000000004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9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10"/>
        <v>0</v>
      </c>
      <c r="P21" s="94">
        <f t="shared" si="4"/>
        <v>0</v>
      </c>
      <c r="Q21" s="180">
        <f t="shared" si="11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2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3"/>
        <v>159126.11635512838</v>
      </c>
      <c r="Z21">
        <f t="shared" si="1"/>
        <v>0</v>
      </c>
      <c r="AA21">
        <f t="shared" si="2"/>
        <v>0</v>
      </c>
      <c r="AB21" s="94">
        <f t="shared" si="8"/>
        <v>530420.38785042788</v>
      </c>
      <c r="AC21">
        <f>AB21*D21*10000*VLOOKUP(A21,[1]kcal!$A$2:$C$49,3,FALSE)/1000000000000</f>
        <v>0</v>
      </c>
    </row>
    <row r="22" spans="1:29" x14ac:dyDescent="0.55000000000000004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9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10"/>
        <v>-4828427.5390456235</v>
      </c>
      <c r="P22" s="94">
        <f t="shared" si="4"/>
        <v>0</v>
      </c>
      <c r="Q22" s="180">
        <f t="shared" si="11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2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3"/>
        <v>0</v>
      </c>
      <c r="Z22">
        <f t="shared" si="1"/>
        <v>1</v>
      </c>
      <c r="AA22">
        <f t="shared" si="2"/>
        <v>0</v>
      </c>
      <c r="AB22" s="94">
        <f t="shared" si="8"/>
        <v>-4828427.5390456235</v>
      </c>
      <c r="AC22">
        <f>AB22*D22*10000*VLOOKUP(A22,[1]kcal!$A$2:$C$49,3,FALSE)/1000000000000</f>
        <v>-2.7522036972560056</v>
      </c>
    </row>
    <row r="23" spans="1:29" x14ac:dyDescent="0.55000000000000004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9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10"/>
        <v>-203061.53166372905</v>
      </c>
      <c r="P23" s="94">
        <f t="shared" si="4"/>
        <v>0</v>
      </c>
      <c r="Q23" s="180">
        <f t="shared" si="11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2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3"/>
        <v>0</v>
      </c>
      <c r="Z23">
        <f t="shared" si="1"/>
        <v>1</v>
      </c>
      <c r="AA23">
        <f t="shared" si="2"/>
        <v>0</v>
      </c>
      <c r="AB23" s="94">
        <f t="shared" si="8"/>
        <v>-203061.53166372905</v>
      </c>
      <c r="AC23">
        <f>AB23*D23*10000*VLOOKUP(A23,[1]kcal!$A$2:$C$49,3,FALSE)/1000000000000</f>
        <v>0</v>
      </c>
    </row>
    <row r="24" spans="1:29" x14ac:dyDescent="0.55000000000000004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9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10"/>
        <v>766472.09789043549</v>
      </c>
      <c r="P24" s="94">
        <f t="shared" si="4"/>
        <v>0</v>
      </c>
      <c r="Q24" s="180">
        <f t="shared" si="11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2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3"/>
        <v>0</v>
      </c>
      <c r="Z24">
        <f t="shared" si="1"/>
        <v>0</v>
      </c>
      <c r="AA24">
        <f t="shared" si="2"/>
        <v>1</v>
      </c>
      <c r="AB24" s="94">
        <f t="shared" si="8"/>
        <v>766472.09789043549</v>
      </c>
      <c r="AC24">
        <f>AB24*D24*10000*VLOOKUP(A24,[1]kcal!$A$2:$C$49,3,FALSE)/1000000000000</f>
        <v>0</v>
      </c>
    </row>
    <row r="25" spans="1:29" x14ac:dyDescent="0.55000000000000004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9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10"/>
        <v>2027113.3294623662</v>
      </c>
      <c r="P25" s="94">
        <f t="shared" si="4"/>
        <v>0</v>
      </c>
      <c r="Q25" s="180">
        <f t="shared" si="11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2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3"/>
        <v>0</v>
      </c>
      <c r="Z25">
        <f t="shared" si="1"/>
        <v>0</v>
      </c>
      <c r="AA25">
        <f t="shared" si="2"/>
        <v>1</v>
      </c>
      <c r="AB25" s="94">
        <f t="shared" si="8"/>
        <v>2146636.3631328358</v>
      </c>
      <c r="AC25">
        <f>AB25*D25*10000*VLOOKUP(A25,[1]kcal!$A$2:$C$49,3,FALSE)/1000000000000</f>
        <v>1.6743763632436117</v>
      </c>
    </row>
    <row r="26" spans="1:29" x14ac:dyDescent="0.55000000000000004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9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10"/>
        <v>675046.7637937516</v>
      </c>
      <c r="P26" s="94">
        <f t="shared" si="4"/>
        <v>675046.7637937516</v>
      </c>
      <c r="Q26" s="180">
        <f t="shared" si="11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2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3"/>
        <v>0</v>
      </c>
      <c r="Z26">
        <f t="shared" si="1"/>
        <v>0</v>
      </c>
      <c r="AA26">
        <f t="shared" si="2"/>
        <v>1</v>
      </c>
      <c r="AB26" s="94">
        <f t="shared" si="8"/>
        <v>961376.66863070056</v>
      </c>
      <c r="AC26">
        <f>AB26*D26*10000*VLOOKUP(A26,[1]kcal!$A$2:$C$49,3,FALSE)/1000000000000</f>
        <v>3.5186386071883637</v>
      </c>
    </row>
    <row r="27" spans="1:29" x14ac:dyDescent="0.55000000000000004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9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10"/>
        <v>-569996.93502990273</v>
      </c>
      <c r="P27" s="94">
        <f t="shared" si="4"/>
        <v>0</v>
      </c>
      <c r="Q27" s="180">
        <f t="shared" si="11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2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3"/>
        <v>0</v>
      </c>
      <c r="Z27">
        <f t="shared" ca="1" si="1"/>
        <v>1</v>
      </c>
      <c r="AA27">
        <f t="shared" ca="1" si="2"/>
        <v>0</v>
      </c>
      <c r="AB27" s="94">
        <f t="shared" ca="1" si="8"/>
        <v>-569996.93502990273</v>
      </c>
      <c r="AC27">
        <f ca="1">AB27*D27*10000*VLOOKUP(A27,[1]kcal!$A$2:$C$49,3,FALSE)/1000000000000</f>
        <v>0</v>
      </c>
    </row>
    <row r="28" spans="1:29" x14ac:dyDescent="0.55000000000000004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9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10"/>
        <v>0</v>
      </c>
      <c r="P28" s="94">
        <f t="shared" si="4"/>
        <v>0</v>
      </c>
      <c r="Q28" s="180">
        <f t="shared" si="11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2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3"/>
        <v>0</v>
      </c>
      <c r="Z28">
        <f t="shared" si="1"/>
        <v>0</v>
      </c>
      <c r="AA28">
        <f t="shared" si="2"/>
        <v>0</v>
      </c>
      <c r="AB28" s="94">
        <f t="shared" si="8"/>
        <v>0</v>
      </c>
      <c r="AC28">
        <f>AB28*D28*10000*VLOOKUP(A28,[1]kcal!$A$2:$C$49,3,FALSE)/1000000000000</f>
        <v>0</v>
      </c>
    </row>
    <row r="29" spans="1:29" x14ac:dyDescent="0.55000000000000004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9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10"/>
        <v>122443.54553678865</v>
      </c>
      <c r="P29" s="94">
        <f t="shared" si="4"/>
        <v>0</v>
      </c>
      <c r="Q29" s="180">
        <f t="shared" si="11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2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3"/>
        <v>0</v>
      </c>
      <c r="Z29">
        <f t="shared" si="1"/>
        <v>0</v>
      </c>
      <c r="AA29">
        <f t="shared" si="2"/>
        <v>1</v>
      </c>
      <c r="AB29" s="94">
        <f t="shared" si="8"/>
        <v>122443.54553678865</v>
      </c>
      <c r="AC29">
        <f>AB29*D29*10000*VLOOKUP(A29,[1]kcal!$A$2:$C$49,3,FALSE)/1000000000000</f>
        <v>0</v>
      </c>
    </row>
    <row r="30" spans="1:29" x14ac:dyDescent="0.55000000000000004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9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10"/>
        <v>1618746.6633055378</v>
      </c>
      <c r="P30" s="94">
        <f t="shared" si="4"/>
        <v>1274488.0820395502</v>
      </c>
      <c r="Q30" s="180">
        <f t="shared" si="11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2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3"/>
        <v>0</v>
      </c>
      <c r="Z30">
        <f t="shared" si="1"/>
        <v>0</v>
      </c>
      <c r="AA30">
        <f t="shared" si="2"/>
        <v>1</v>
      </c>
      <c r="AB30" s="94">
        <f t="shared" si="8"/>
        <v>1618746.6633055378</v>
      </c>
      <c r="AC30">
        <f>AB30*D30*10000*VLOOKUP(A30,[1]kcal!$A$2:$C$49,3,FALSE)/1000000000000</f>
        <v>1.4730594636080394</v>
      </c>
    </row>
    <row r="31" spans="1:29" x14ac:dyDescent="0.55000000000000004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9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10"/>
        <v>2703717.1158706988</v>
      </c>
      <c r="P31" s="94">
        <f t="shared" si="4"/>
        <v>0</v>
      </c>
      <c r="Q31" s="180">
        <f t="shared" si="11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2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3"/>
        <v>0</v>
      </c>
      <c r="Z31">
        <f t="shared" si="1"/>
        <v>0</v>
      </c>
      <c r="AA31">
        <f t="shared" si="2"/>
        <v>1</v>
      </c>
      <c r="AB31" s="94">
        <f t="shared" si="8"/>
        <v>3160794.2116654618</v>
      </c>
      <c r="AC31">
        <f>AB31*D31*10000*VLOOKUP(A31,[1]kcal!$A$2:$C$49,3,FALSE)/1000000000000</f>
        <v>1.991300353349241</v>
      </c>
    </row>
    <row r="32" spans="1:29" x14ac:dyDescent="0.55000000000000004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9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10"/>
        <v>878.90231344976178</v>
      </c>
      <c r="P32" s="94">
        <f t="shared" si="4"/>
        <v>878.90231344976178</v>
      </c>
      <c r="Q32" s="180">
        <f t="shared" si="11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2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3"/>
        <v>0</v>
      </c>
      <c r="Z32">
        <f t="shared" si="1"/>
        <v>0</v>
      </c>
      <c r="AA32">
        <f t="shared" si="2"/>
        <v>1</v>
      </c>
      <c r="AB32" s="94">
        <f t="shared" si="8"/>
        <v>878.90231344976178</v>
      </c>
      <c r="AC32">
        <f>AB32*D32*10000*VLOOKUP(A32,[1]kcal!$A$2:$C$49,3,FALSE)/1000000000000</f>
        <v>7.2948892016330225E-4</v>
      </c>
    </row>
    <row r="33" spans="1:29" x14ac:dyDescent="0.55000000000000004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9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10"/>
        <v>50014.542046090508</v>
      </c>
      <c r="P33" s="94">
        <f t="shared" si="4"/>
        <v>0</v>
      </c>
      <c r="Q33" s="180">
        <f t="shared" si="11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2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3"/>
        <v>0</v>
      </c>
      <c r="Z33">
        <f t="shared" si="1"/>
        <v>0</v>
      </c>
      <c r="AA33">
        <f t="shared" si="2"/>
        <v>1</v>
      </c>
      <c r="AB33" s="94">
        <f t="shared" si="8"/>
        <v>108094.85577035608</v>
      </c>
      <c r="AC33">
        <f>AB33*D33*10000*VLOOKUP(A33,[1]kcal!$A$2:$C$49,3,FALSE)/1000000000000</f>
        <v>0.21078496875219438</v>
      </c>
    </row>
    <row r="34" spans="1:29" x14ac:dyDescent="0.55000000000000004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9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10"/>
        <v>1610618.3345669576</v>
      </c>
      <c r="P34" s="94">
        <f t="shared" si="4"/>
        <v>0</v>
      </c>
      <c r="Q34" s="180">
        <f t="shared" si="11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2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3"/>
        <v>0</v>
      </c>
      <c r="Z34">
        <f t="shared" si="1"/>
        <v>0</v>
      </c>
      <c r="AA34">
        <f t="shared" si="2"/>
        <v>1</v>
      </c>
      <c r="AB34" s="94">
        <f t="shared" si="8"/>
        <v>1610618.3345669576</v>
      </c>
      <c r="AC34">
        <f>AB34*D34*10000*VLOOKUP(A34,[1]kcal!$A$2:$C$49,3,FALSE)/1000000000000</f>
        <v>0.62814115048111341</v>
      </c>
    </row>
    <row r="35" spans="1:29" x14ac:dyDescent="0.55000000000000004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9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10"/>
        <v>0</v>
      </c>
      <c r="P35" s="94">
        <f t="shared" si="4"/>
        <v>0</v>
      </c>
      <c r="Q35" s="180">
        <f t="shared" si="11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2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3"/>
        <v>70967.814731961684</v>
      </c>
      <c r="Z35">
        <f t="shared" si="1"/>
        <v>0</v>
      </c>
      <c r="AA35">
        <f t="shared" si="2"/>
        <v>0</v>
      </c>
      <c r="AB35" s="94">
        <f t="shared" si="8"/>
        <v>171006.78248665464</v>
      </c>
      <c r="AC35">
        <f>AB35*D35*10000*VLOOKUP(A35,[1]kcal!$A$2:$C$49,3,FALSE)/1000000000000</f>
        <v>0</v>
      </c>
    </row>
    <row r="36" spans="1:29" x14ac:dyDescent="0.55000000000000004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9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 t="shared" ref="O36:O37" si="14">G36-SUM(H36:N36)</f>
        <v>0</v>
      </c>
      <c r="P36" s="94">
        <f t="shared" si="4"/>
        <v>0</v>
      </c>
      <c r="Q36" s="180">
        <f t="shared" ref="Q36:Q37" si="15"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ref="U36:U37" si="16"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ref="Y36:Y37" si="17">W36-X36</f>
        <v>0</v>
      </c>
      <c r="Z36">
        <f t="shared" si="1"/>
        <v>0</v>
      </c>
      <c r="AA36">
        <f t="shared" si="2"/>
        <v>0</v>
      </c>
      <c r="AB36" s="94">
        <f t="shared" si="8"/>
        <v>0</v>
      </c>
      <c r="AC36">
        <f>AB36*D36*10000*VLOOKUP(A36,[1]kcal!$A$2:$C$49,3,FALSE)/1000000000000</f>
        <v>0</v>
      </c>
    </row>
    <row r="37" spans="1:29" x14ac:dyDescent="0.55000000000000004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9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 t="shared" si="14"/>
        <v>0</v>
      </c>
      <c r="P37" s="94">
        <f t="shared" si="4"/>
        <v>0</v>
      </c>
      <c r="Q37" s="180">
        <f t="shared" si="1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16"/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17"/>
        <v>0</v>
      </c>
      <c r="Z37">
        <f t="shared" si="1"/>
        <v>0</v>
      </c>
      <c r="AA37">
        <f t="shared" si="2"/>
        <v>0</v>
      </c>
      <c r="AB37" s="94">
        <f t="shared" si="8"/>
        <v>0</v>
      </c>
      <c r="AC37">
        <f>AB37*D37*10000*VLOOKUP(A37,[1]kcal!$A$2:$C$49,3,FALSE)/1000000000000</f>
        <v>0</v>
      </c>
    </row>
    <row r="38" spans="1:29" x14ac:dyDescent="0.55000000000000004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9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10"/>
        <v>4922001.9803787302</v>
      </c>
      <c r="P38" s="94">
        <f t="shared" si="4"/>
        <v>0</v>
      </c>
      <c r="Q38" s="180">
        <f t="shared" si="11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2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3"/>
        <v>0</v>
      </c>
      <c r="Z38">
        <f t="shared" si="1"/>
        <v>0</v>
      </c>
      <c r="AA38">
        <f t="shared" si="2"/>
        <v>1</v>
      </c>
      <c r="AB38" s="94">
        <f t="shared" si="8"/>
        <v>4922001.9803787302</v>
      </c>
      <c r="AC38">
        <f>AB38*D38*10000*VLOOKUP(A38,[1]kcal!$A$2:$C$49,3,FALSE)/1000000000000</f>
        <v>0</v>
      </c>
    </row>
    <row r="39" spans="1:29" x14ac:dyDescent="0.55000000000000004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9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10"/>
        <v>0</v>
      </c>
      <c r="P39" s="94">
        <f t="shared" si="4"/>
        <v>0</v>
      </c>
      <c r="Q39" s="180">
        <f t="shared" si="11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2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3"/>
        <v>0</v>
      </c>
      <c r="Z39">
        <f t="shared" si="1"/>
        <v>0</v>
      </c>
      <c r="AA39">
        <f t="shared" si="2"/>
        <v>0</v>
      </c>
      <c r="AB39" s="94">
        <f t="shared" si="8"/>
        <v>485762.00237315823</v>
      </c>
      <c r="AC39">
        <f>AB39*D39*10000*VLOOKUP(A39,[1]kcal!$A$2:$C$49,3,FALSE)/1000000000000</f>
        <v>0</v>
      </c>
    </row>
    <row r="40" spans="1:29" x14ac:dyDescent="0.55000000000000004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9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10"/>
        <v>28781.895095316839</v>
      </c>
      <c r="P40" s="94">
        <f t="shared" si="4"/>
        <v>0</v>
      </c>
      <c r="Q40" s="180">
        <f t="shared" si="11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2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3"/>
        <v>0</v>
      </c>
      <c r="Z40">
        <f t="shared" si="1"/>
        <v>0</v>
      </c>
      <c r="AA40">
        <f t="shared" si="2"/>
        <v>1</v>
      </c>
      <c r="AB40" s="94">
        <f t="shared" si="8"/>
        <v>28781.895095316839</v>
      </c>
      <c r="AC40">
        <f>AB40*D40*10000*VLOOKUP(A40,[1]kcal!$A$2:$C$49,3,FALSE)/1000000000000</f>
        <v>0</v>
      </c>
    </row>
    <row r="41" spans="1:29" x14ac:dyDescent="0.55000000000000004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9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10"/>
        <v>0</v>
      </c>
      <c r="P41" s="94">
        <f t="shared" si="4"/>
        <v>0</v>
      </c>
      <c r="Q41" s="180">
        <f t="shared" si="11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2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3"/>
        <v>0</v>
      </c>
      <c r="Z41">
        <f t="shared" si="1"/>
        <v>0</v>
      </c>
      <c r="AA41">
        <f t="shared" si="2"/>
        <v>0</v>
      </c>
      <c r="AB41" s="94">
        <f t="shared" si="8"/>
        <v>155443.84075941064</v>
      </c>
      <c r="AC41">
        <f>AB41*D41*10000*VLOOKUP(A41,[1]kcal!$A$2:$C$49,3,FALSE)/1000000000000</f>
        <v>1.3989945668346957</v>
      </c>
    </row>
    <row r="42" spans="1:29" x14ac:dyDescent="0.55000000000000004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9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10"/>
        <v>-467792.00917977782</v>
      </c>
      <c r="P42" s="94">
        <f t="shared" si="4"/>
        <v>0</v>
      </c>
      <c r="Q42" s="180">
        <f t="shared" si="11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2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3"/>
        <v>0</v>
      </c>
      <c r="Z42">
        <f t="shared" si="1"/>
        <v>0</v>
      </c>
      <c r="AA42">
        <f t="shared" si="2"/>
        <v>1</v>
      </c>
      <c r="AB42" s="94">
        <f t="shared" si="8"/>
        <v>-467792.00917977782</v>
      </c>
      <c r="AC42">
        <f>AB42*D42*10000*VLOOKUP(A42,[1]kcal!$A$2:$C$49,3,FALSE)/1000000000000</f>
        <v>-0.14033760275393334</v>
      </c>
    </row>
    <row r="43" spans="1:29" x14ac:dyDescent="0.55000000000000004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9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10"/>
        <v>193830.89221723122</v>
      </c>
      <c r="P43" s="94">
        <f t="shared" si="4"/>
        <v>0</v>
      </c>
      <c r="Q43" s="180">
        <f t="shared" si="11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2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3"/>
        <v>0</v>
      </c>
      <c r="Z43">
        <f t="shared" si="1"/>
        <v>0</v>
      </c>
      <c r="AA43">
        <f t="shared" si="2"/>
        <v>1</v>
      </c>
      <c r="AB43" s="94">
        <f t="shared" si="8"/>
        <v>193830.89221723122</v>
      </c>
      <c r="AC43">
        <f>AB43*D43*10000*VLOOKUP(A43,[1]kcal!$A$2:$C$49,3,FALSE)/1000000000000</f>
        <v>0</v>
      </c>
    </row>
    <row r="44" spans="1:29" x14ac:dyDescent="0.55000000000000004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9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10"/>
        <v>91860.340866184866</v>
      </c>
      <c r="P44" s="94">
        <f t="shared" si="4"/>
        <v>0</v>
      </c>
      <c r="Q44" s="180">
        <f t="shared" si="11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2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3"/>
        <v>0</v>
      </c>
      <c r="Z44">
        <f t="shared" si="1"/>
        <v>0</v>
      </c>
      <c r="AA44">
        <f t="shared" si="2"/>
        <v>1</v>
      </c>
      <c r="AB44" s="94">
        <f t="shared" si="8"/>
        <v>91860.340866184866</v>
      </c>
      <c r="AC44">
        <f>AB44*D44*10000*VLOOKUP(A44,[1]kcal!$A$2:$C$49,3,FALSE)/1000000000000</f>
        <v>0</v>
      </c>
    </row>
    <row r="45" spans="1:29" x14ac:dyDescent="0.55000000000000004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9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10"/>
        <v>2390013.9527756004</v>
      </c>
      <c r="P45" s="94">
        <f t="shared" si="4"/>
        <v>2390013.9527756004</v>
      </c>
      <c r="Q45" s="180">
        <f t="shared" si="11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2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3"/>
        <v>0</v>
      </c>
      <c r="Z45">
        <f t="shared" si="1"/>
        <v>0</v>
      </c>
      <c r="AA45">
        <f t="shared" si="2"/>
        <v>1</v>
      </c>
      <c r="AB45" s="94">
        <f t="shared" si="8"/>
        <v>2390013.9527756004</v>
      </c>
      <c r="AC45">
        <f>AB45*D45*10000*VLOOKUP(A45,[1]kcal!$A$2:$C$49,3,FALSE)/1000000000000</f>
        <v>0</v>
      </c>
    </row>
    <row r="46" spans="1:29" x14ac:dyDescent="0.55000000000000004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9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10"/>
        <v>0</v>
      </c>
      <c r="P46" s="94">
        <f t="shared" si="4"/>
        <v>0</v>
      </c>
      <c r="Q46" s="180">
        <f t="shared" si="11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2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3"/>
        <v>0</v>
      </c>
      <c r="Z46">
        <f t="shared" si="1"/>
        <v>0</v>
      </c>
      <c r="AA46">
        <f t="shared" si="2"/>
        <v>0</v>
      </c>
      <c r="AB46" s="94">
        <f t="shared" si="8"/>
        <v>0</v>
      </c>
      <c r="AC46">
        <f>AB46*D46*10000*VLOOKUP(A46,[1]kcal!$A$2:$C$49,3,FALSE)/1000000000000</f>
        <v>0</v>
      </c>
    </row>
    <row r="47" spans="1:29" x14ac:dyDescent="0.55000000000000004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9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10"/>
        <v>1276456.3476501952</v>
      </c>
      <c r="P47" s="94">
        <f t="shared" si="4"/>
        <v>0</v>
      </c>
      <c r="Q47" s="180">
        <f t="shared" si="11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2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3"/>
        <v>0</v>
      </c>
      <c r="Z47">
        <f t="shared" si="1"/>
        <v>0</v>
      </c>
      <c r="AA47">
        <f t="shared" si="2"/>
        <v>1</v>
      </c>
      <c r="AB47" s="94">
        <f t="shared" si="8"/>
        <v>1394376.9846055224</v>
      </c>
      <c r="AC47">
        <f>AB47*D47*10000*VLOOKUP(A47,[1]kcal!$A$2:$C$49,3,FALSE)/1000000000000</f>
        <v>2.7190351199807687</v>
      </c>
    </row>
    <row r="48" spans="1:29" x14ac:dyDescent="0.55000000000000004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9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10"/>
        <v>76.5</v>
      </c>
      <c r="P48" s="94">
        <f t="shared" si="4"/>
        <v>76.5</v>
      </c>
      <c r="Q48" s="180">
        <f t="shared" si="11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2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3"/>
        <v>0</v>
      </c>
      <c r="Z48">
        <f t="shared" si="1"/>
        <v>0</v>
      </c>
      <c r="AA48">
        <f t="shared" si="2"/>
        <v>1</v>
      </c>
      <c r="AB48" s="94">
        <f t="shared" si="8"/>
        <v>76.5</v>
      </c>
      <c r="AC48">
        <f>AB48*D48*10000*VLOOKUP(A48,[1]kcal!$A$2:$C$49,3,FALSE)/1000000000000</f>
        <v>3.1211999999999999E-5</v>
      </c>
    </row>
    <row r="49" spans="1:29" x14ac:dyDescent="0.55000000000000004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9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10"/>
        <v>0</v>
      </c>
      <c r="P49" s="94">
        <f t="shared" si="4"/>
        <v>0</v>
      </c>
      <c r="Q49" s="180">
        <f t="shared" si="11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2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3"/>
        <v>0</v>
      </c>
      <c r="Z49">
        <f t="shared" si="1"/>
        <v>0</v>
      </c>
      <c r="AA49">
        <f t="shared" si="2"/>
        <v>0</v>
      </c>
      <c r="AB49" s="94">
        <f t="shared" si="8"/>
        <v>0</v>
      </c>
      <c r="AC49">
        <f>AB49*D49*10000*VLOOKUP(A49,[1]kcal!$A$2:$C$49,3,FALSE)/1000000000000</f>
        <v>0</v>
      </c>
    </row>
    <row r="50" spans="1:29" x14ac:dyDescent="0.55000000000000004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9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10"/>
        <v>0</v>
      </c>
      <c r="P50" s="94">
        <f t="shared" ca="1" si="4"/>
        <v>0</v>
      </c>
      <c r="Q50" s="180">
        <f t="shared" ca="1" si="11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2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3"/>
        <v>1151724.8729790249</v>
      </c>
      <c r="Z50">
        <f t="shared" ca="1" si="1"/>
        <v>0</v>
      </c>
      <c r="AA50">
        <f t="shared" ca="1" si="2"/>
        <v>0</v>
      </c>
      <c r="AB50" s="94">
        <f t="shared" ca="1" si="8"/>
        <v>2328677.081002241</v>
      </c>
      <c r="AC50">
        <f ca="1">AB50*D50*10000*VLOOKUP(A50,[1]kcal!$A$2:$C$49,3,FALSE)/1000000000000</f>
        <v>0</v>
      </c>
    </row>
    <row r="51" spans="1:29" x14ac:dyDescent="0.55000000000000004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9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10"/>
        <v>0</v>
      </c>
      <c r="P51" s="94">
        <f t="shared" si="4"/>
        <v>0</v>
      </c>
      <c r="Q51" s="180">
        <f t="shared" si="11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2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3"/>
        <v>0</v>
      </c>
      <c r="Z51">
        <f t="shared" ca="1" si="1"/>
        <v>0</v>
      </c>
      <c r="AA51">
        <f t="shared" ca="1" si="2"/>
        <v>0</v>
      </c>
      <c r="AB51" s="94">
        <f t="shared" si="8"/>
        <v>640291.52551137318</v>
      </c>
      <c r="AC51">
        <f>AB51*D51*10000*VLOOKUP(A51,[1]kcal!$A$2:$C$49,3,FALSE)/1000000000000</f>
        <v>0</v>
      </c>
    </row>
    <row r="52" spans="1:29" x14ac:dyDescent="0.55000000000000004">
      <c r="A52" s="171" t="str">
        <f t="shared" ref="A52:A83" si="18">A4</f>
        <v>Æg</v>
      </c>
      <c r="B52" s="171" t="str">
        <f t="shared" ref="B52:B83" si="19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20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137289.06413917695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10"/>
        <v>104709.27958617709</v>
      </c>
      <c r="P52" s="94">
        <f t="shared" si="4"/>
        <v>0</v>
      </c>
      <c r="Q52" s="180">
        <f t="shared" si="11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2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3"/>
        <v>0</v>
      </c>
      <c r="Z52">
        <f t="shared" si="1"/>
        <v>0</v>
      </c>
      <c r="AA52">
        <f t="shared" si="2"/>
        <v>1</v>
      </c>
      <c r="AB52" s="94">
        <f t="shared" si="8"/>
        <v>137289.06413917695</v>
      </c>
      <c r="AC52">
        <f>AB52*D52*10000*VLOOKUP(A52,[1]kcal!$A$2:$C$49,3,FALSE)/1000000000000</f>
        <v>0.18945890851206418</v>
      </c>
    </row>
    <row r="53" spans="1:29" x14ac:dyDescent="0.55000000000000004">
      <c r="A53" s="171" t="str">
        <f t="shared" si="18"/>
        <v>Bælgsæd</v>
      </c>
      <c r="B53" s="171" t="str">
        <f t="shared" si="19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1">D5</f>
        <v>1</v>
      </c>
      <c r="E53" s="171">
        <f t="shared" si="20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784216.78686351166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43580.743031500795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10"/>
        <v>740636.04383201082</v>
      </c>
      <c r="P53" s="94">
        <f t="shared" si="4"/>
        <v>0</v>
      </c>
      <c r="Q53" s="180">
        <f t="shared" si="11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2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3"/>
        <v>0</v>
      </c>
      <c r="Z53">
        <f t="shared" si="1"/>
        <v>0</v>
      </c>
      <c r="AA53">
        <f t="shared" si="2"/>
        <v>1</v>
      </c>
      <c r="AB53" s="94">
        <f t="shared" si="8"/>
        <v>740636.04383201082</v>
      </c>
      <c r="AC53">
        <f>AB53*D53*10000*VLOOKUP(A53,[1]kcal!$A$2:$C$49,3,FALSE)/1000000000000</f>
        <v>5.1437173244133154</v>
      </c>
    </row>
    <row r="54" spans="1:29" x14ac:dyDescent="0.55000000000000004">
      <c r="A54" s="171" t="str">
        <f t="shared" si="18"/>
        <v>Bioaffald</v>
      </c>
      <c r="B54" s="171" t="str">
        <f t="shared" si="19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1"/>
        <v>0</v>
      </c>
      <c r="E54" s="171">
        <f t="shared" si="20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10"/>
        <v>0</v>
      </c>
      <c r="P54" s="94">
        <f t="shared" ca="1" si="4"/>
        <v>0</v>
      </c>
      <c r="Q54" s="180">
        <f t="shared" ca="1" si="11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2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3"/>
        <v>54623.023275626925</v>
      </c>
      <c r="Z54">
        <f t="shared" ca="1" si="1"/>
        <v>0</v>
      </c>
      <c r="AA54">
        <f t="shared" ca="1" si="2"/>
        <v>0</v>
      </c>
      <c r="AB54" s="94">
        <f t="shared" ca="1" si="8"/>
        <v>195082.22598438186</v>
      </c>
      <c r="AC54">
        <f ca="1">AB54*D54*10000*VLOOKUP(A54,[1]kcal!$A$2:$C$49,3,FALSE)/1000000000000</f>
        <v>0</v>
      </c>
    </row>
    <row r="55" spans="1:29" x14ac:dyDescent="0.55000000000000004">
      <c r="A55" s="171" t="str">
        <f t="shared" si="18"/>
        <v>Biogas</v>
      </c>
      <c r="B55" s="171" t="str">
        <f t="shared" si="19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1"/>
        <v>0</v>
      </c>
      <c r="E55" s="171">
        <f t="shared" si="20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360155466.15188104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360155466.15188104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10"/>
        <v>0</v>
      </c>
      <c r="P55" s="94">
        <f t="shared" ca="1" si="4"/>
        <v>0</v>
      </c>
      <c r="Q55" s="180">
        <f t="shared" ca="1" si="11"/>
        <v>360155466.15188104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2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3"/>
        <v>0</v>
      </c>
      <c r="Z55">
        <f t="shared" ca="1" si="1"/>
        <v>0</v>
      </c>
      <c r="AA55">
        <f t="shared" ca="1" si="2"/>
        <v>0</v>
      </c>
      <c r="AB55" s="94">
        <f t="shared" ca="1" si="8"/>
        <v>360155466.15188104</v>
      </c>
      <c r="AC55">
        <f ca="1">AB55*D55*10000*VLOOKUP(A55,[1]kcal!$A$2:$C$49,3,FALSE)/1000000000000</f>
        <v>0</v>
      </c>
    </row>
    <row r="56" spans="1:29" x14ac:dyDescent="0.55000000000000004">
      <c r="A56" s="171" t="str">
        <f t="shared" si="18"/>
        <v>Biogasgylle</v>
      </c>
      <c r="B56" s="171" t="str">
        <f t="shared" si="19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1"/>
        <v>0</v>
      </c>
      <c r="E56" s="171">
        <f t="shared" si="20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14753259.052618254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10112257.042498086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10"/>
        <v>4641002.0101201683</v>
      </c>
      <c r="P56" s="94">
        <f t="shared" si="4"/>
        <v>0</v>
      </c>
      <c r="Q56" s="180">
        <f t="shared" si="11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2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3"/>
        <v>0</v>
      </c>
      <c r="Z56">
        <f t="shared" ca="1" si="1"/>
        <v>0</v>
      </c>
      <c r="AA56">
        <f t="shared" ca="1" si="2"/>
        <v>1</v>
      </c>
      <c r="AB56" s="94">
        <f t="shared" ca="1" si="8"/>
        <v>4641002.0101201683</v>
      </c>
      <c r="AC56">
        <f ca="1">AB56*D56*10000*VLOOKUP(A56,[1]kcal!$A$2:$C$49,3,FALSE)/1000000000000</f>
        <v>0</v>
      </c>
    </row>
    <row r="57" spans="1:29" x14ac:dyDescent="0.55000000000000004">
      <c r="A57" s="171" t="str">
        <f t="shared" si="18"/>
        <v>Brun saft</v>
      </c>
      <c r="B57" s="171" t="str">
        <f t="shared" si="19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1"/>
        <v>0</v>
      </c>
      <c r="E57" s="171">
        <f t="shared" si="20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0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0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10"/>
        <v>0</v>
      </c>
      <c r="P57" s="94">
        <f t="shared" si="4"/>
        <v>0</v>
      </c>
      <c r="Q57" s="180">
        <f t="shared" si="11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12"/>
        <v>0</v>
      </c>
      <c r="V57" s="169">
        <f>P57*IFERROR(VLOOKUP(A57,[1]Tørstofindhold!A$2:B$24,2,FALSE),0)</f>
        <v>0</v>
      </c>
      <c r="W57">
        <f>IF(E57=År1,Q57,SUM(P57,Q57))*IFERROR(VLOOKUP(A57,[1]Tørstofindhold!A$2:B$24,2,FALSE),0)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13"/>
        <v>0</v>
      </c>
      <c r="Z57">
        <f t="shared" si="1"/>
        <v>0</v>
      </c>
      <c r="AA57">
        <f t="shared" si="2"/>
        <v>0</v>
      </c>
      <c r="AB57" s="94">
        <f t="shared" si="8"/>
        <v>0</v>
      </c>
      <c r="AC57">
        <f>AB57*D57*10000*VLOOKUP(A57,[1]kcal!$A$2:$C$49,3,FALSE)/1000000000000</f>
        <v>0</v>
      </c>
    </row>
    <row r="58" spans="1:29" x14ac:dyDescent="0.55000000000000004">
      <c r="A58" s="171" t="str">
        <f t="shared" si="18"/>
        <v>Dybstrøelse</v>
      </c>
      <c r="B58" s="171" t="str">
        <f t="shared" si="19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1"/>
        <v>0</v>
      </c>
      <c r="E58" s="171">
        <f t="shared" si="20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2465403.7833838393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1849052.8375378796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233332.85807025622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10"/>
        <v>383018.08777570352</v>
      </c>
      <c r="P58" s="94">
        <f t="shared" si="4"/>
        <v>383018.08777570352</v>
      </c>
      <c r="Q58" s="180">
        <f t="shared" si="11"/>
        <v>1849052.8375378796</v>
      </c>
      <c r="R58">
        <f>IFERROR(VLOOKUP(A58,[1]Energiindhold!$A$2:$C$11,3,FALSE),IFERROR(VLOOKUP(A58,[1]Biogasudbytte!$A$2:$B$18,2,FALSE)*[1]Energiindhold!$C$10,0))*P58</f>
        <v>0.82502096106886535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4.8078807731254578</v>
      </c>
      <c r="T58">
        <f>IFERROR(VLOOKUP(A58,[1]Biogasudbytte!$A$2:$B$18,2,FALSE)*[1]Energiindhold!$C$10,0)*K58*IFERROR(VLOOKUP(A58,Biogasanlæg!$F$3:$G$8,2,FALSE),1)</f>
        <v>3.9828598120565926</v>
      </c>
      <c r="U58" s="170">
        <f t="shared" si="12"/>
        <v>0.82502096106886524</v>
      </c>
      <c r="V58" s="169">
        <f>P58*IFERROR(VLOOKUP(A58,[1]Tørstofindhold!A$2:B$24,2,FALSE),0)</f>
        <v>114905.42633271105</v>
      </c>
      <c r="W58">
        <f>IF(E58=År1,Q58,SUM(P58,Q58))*IFERROR(VLOOKUP(A58,[1]Tørstofindhold!A$2:B$24,2,FALSE),0)</f>
        <v>669621.27759407496</v>
      </c>
      <c r="X58">
        <f>K58*IFERROR(VLOOKUP(A58,[1]Tørstofindhold!A$2:B$24,2,FALSE),0)</f>
        <v>554715.85126136383</v>
      </c>
      <c r="Y58" s="170">
        <f t="shared" si="13"/>
        <v>114905.42633271113</v>
      </c>
      <c r="Z58">
        <f t="shared" si="1"/>
        <v>0</v>
      </c>
      <c r="AA58">
        <f t="shared" si="2"/>
        <v>1</v>
      </c>
      <c r="AB58" s="94">
        <f t="shared" si="8"/>
        <v>383018.08777570352</v>
      </c>
      <c r="AC58">
        <f>AB58*D58*10000*VLOOKUP(A58,[1]kcal!$A$2:$C$49,3,FALSE)/1000000000000</f>
        <v>0</v>
      </c>
    </row>
    <row r="59" spans="1:29" x14ac:dyDescent="0.55000000000000004">
      <c r="A59" s="171" t="str">
        <f t="shared" si="18"/>
        <v>Fiberfraktion</v>
      </c>
      <c r="B59" s="171" t="str">
        <f t="shared" si="19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1"/>
        <v>0</v>
      </c>
      <c r="E59" s="171">
        <f t="shared" si="20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0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0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10"/>
        <v>0</v>
      </c>
      <c r="P59" s="94">
        <f t="shared" si="4"/>
        <v>0</v>
      </c>
      <c r="Q59" s="180">
        <f t="shared" si="11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2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3"/>
        <v>0</v>
      </c>
      <c r="Z59">
        <f t="shared" si="1"/>
        <v>0</v>
      </c>
      <c r="AA59">
        <f t="shared" si="2"/>
        <v>0</v>
      </c>
      <c r="AB59" s="94">
        <f t="shared" si="8"/>
        <v>0</v>
      </c>
      <c r="AC59">
        <f>AB59*D59*10000*VLOOKUP(A59,[1]kcal!$A$2:$C$49,3,FALSE)/1000000000000</f>
        <v>0</v>
      </c>
    </row>
    <row r="60" spans="1:29" x14ac:dyDescent="0.55000000000000004">
      <c r="A60" s="171" t="str">
        <f t="shared" si="18"/>
        <v>Fjerkrægylle</v>
      </c>
      <c r="B60" s="171" t="str">
        <f t="shared" si="19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1"/>
        <v>0</v>
      </c>
      <c r="E60" s="171">
        <f t="shared" si="20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8084.5006505504907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6063.3754879128683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2021.1251626376227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10"/>
        <v>0</v>
      </c>
      <c r="P60" s="94">
        <f t="shared" si="4"/>
        <v>0</v>
      </c>
      <c r="Q60" s="180">
        <f t="shared" si="11"/>
        <v>6063.3754879128683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2.8515448582105427E-3</v>
      </c>
      <c r="T60">
        <f>IFERROR(VLOOKUP(A60,[1]Biogasudbytte!$A$2:$B$18,2,FALSE)*[1]Energiindhold!$C$10,0)*K60*IFERROR(VLOOKUP(A60,Biogasanlæg!$F$3:$G$8,2,FALSE),1)</f>
        <v>2.8515448582105427E-3</v>
      </c>
      <c r="U60" s="170">
        <f t="shared" si="12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381.99265573851068</v>
      </c>
      <c r="X60">
        <f>K60*IFERROR(VLOOKUP(A60,[1]Tørstofindhold!A$2:B$24,2,FALSE),0)</f>
        <v>381.99265573851068</v>
      </c>
      <c r="Y60" s="170">
        <f t="shared" si="13"/>
        <v>0</v>
      </c>
      <c r="Z60">
        <f t="shared" si="1"/>
        <v>0</v>
      </c>
      <c r="AA60">
        <f t="shared" si="2"/>
        <v>0</v>
      </c>
      <c r="AB60" s="94">
        <f t="shared" si="8"/>
        <v>0</v>
      </c>
      <c r="AC60">
        <f>AB60*D60*10000*VLOOKUP(A60,[1]kcal!$A$2:$C$49,3,FALSE)/1000000000000</f>
        <v>0</v>
      </c>
    </row>
    <row r="61" spans="1:29" x14ac:dyDescent="0.55000000000000004">
      <c r="A61" s="171" t="str">
        <f t="shared" si="18"/>
        <v>Fjerkrækød</v>
      </c>
      <c r="B61" s="171" t="str">
        <f t="shared" si="19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1"/>
        <v>1</v>
      </c>
      <c r="E61" s="171">
        <f t="shared" si="20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98611.398262488423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10"/>
        <v>63316.631663405235</v>
      </c>
      <c r="P61" s="94">
        <f t="shared" si="4"/>
        <v>0</v>
      </c>
      <c r="Q61" s="180">
        <f t="shared" si="11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2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3"/>
        <v>0</v>
      </c>
      <c r="Z61">
        <f t="shared" si="1"/>
        <v>0</v>
      </c>
      <c r="AA61">
        <f t="shared" si="2"/>
        <v>1</v>
      </c>
      <c r="AB61" s="94">
        <f t="shared" si="8"/>
        <v>98611.398262488423</v>
      </c>
      <c r="AC61">
        <f>AB61*D61*10000*VLOOKUP(A61,[1]kcal!$A$2:$C$49,3,FALSE)/1000000000000</f>
        <v>0.14988932535898239</v>
      </c>
    </row>
    <row r="62" spans="1:29" x14ac:dyDescent="0.55000000000000004">
      <c r="A62" s="171" t="str">
        <f t="shared" si="18"/>
        <v>Frø</v>
      </c>
      <c r="B62" s="171" t="str">
        <f t="shared" si="19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1"/>
        <v>0</v>
      </c>
      <c r="E62" s="171">
        <f t="shared" si="20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1039739.035656676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10"/>
        <v>1039739.035656676</v>
      </c>
      <c r="P62" s="94">
        <f t="shared" si="4"/>
        <v>0</v>
      </c>
      <c r="Q62" s="180">
        <f t="shared" si="11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2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3"/>
        <v>0</v>
      </c>
      <c r="Z62">
        <f t="shared" si="1"/>
        <v>0</v>
      </c>
      <c r="AA62">
        <f t="shared" si="2"/>
        <v>1</v>
      </c>
      <c r="AB62" s="94">
        <f t="shared" si="8"/>
        <v>1039739.035656676</v>
      </c>
      <c r="AC62">
        <f>AB62*D62*10000*VLOOKUP(A62,[1]kcal!$A$2:$C$49,3,FALSE)/1000000000000</f>
        <v>0</v>
      </c>
    </row>
    <row r="63" spans="1:29" x14ac:dyDescent="0.55000000000000004">
      <c r="A63" s="171" t="str">
        <f t="shared" si="18"/>
        <v>Frugt</v>
      </c>
      <c r="B63" s="171" t="str">
        <f t="shared" si="19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1"/>
        <v>1</v>
      </c>
      <c r="E63" s="171">
        <f t="shared" si="20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29445.223193082551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10"/>
        <v>-228478.07118483307</v>
      </c>
      <c r="P63" s="94">
        <f t="shared" si="4"/>
        <v>0</v>
      </c>
      <c r="Q63" s="180">
        <f t="shared" si="11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2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3"/>
        <v>0</v>
      </c>
      <c r="Z63">
        <f t="shared" si="1"/>
        <v>1</v>
      </c>
      <c r="AA63">
        <f t="shared" si="2"/>
        <v>0</v>
      </c>
      <c r="AB63" s="94">
        <f t="shared" si="8"/>
        <v>29445.223193082551</v>
      </c>
      <c r="AC63">
        <f>AB63*D63*10000*VLOOKUP(A63,[1]kcal!$A$2:$C$49,3,FALSE)/1000000000000</f>
        <v>1.5311516060402928E-2</v>
      </c>
    </row>
    <row r="64" spans="1:29" x14ac:dyDescent="0.55000000000000004">
      <c r="A64" s="171" t="str">
        <f t="shared" si="18"/>
        <v>Glycerin</v>
      </c>
      <c r="B64" s="171" t="str">
        <f t="shared" si="19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1"/>
        <v>0</v>
      </c>
      <c r="E64" s="171">
        <f t="shared" si="20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10"/>
        <v>-114193.60000000001</v>
      </c>
      <c r="P64" s="94">
        <f t="shared" si="4"/>
        <v>0</v>
      </c>
      <c r="Q64" s="180">
        <f t="shared" si="11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2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3"/>
        <v>0</v>
      </c>
      <c r="Z64">
        <f t="shared" si="1"/>
        <v>1</v>
      </c>
      <c r="AA64">
        <f t="shared" si="2"/>
        <v>0</v>
      </c>
      <c r="AB64" s="94">
        <f t="shared" si="8"/>
        <v>-114193.60000000001</v>
      </c>
      <c r="AC64">
        <f>AB64*D64*10000*VLOOKUP(A64,[1]kcal!$A$2:$C$49,3,FALSE)/1000000000000</f>
        <v>0</v>
      </c>
    </row>
    <row r="65" spans="1:29" x14ac:dyDescent="0.55000000000000004">
      <c r="A65" s="171" t="str">
        <f t="shared" si="18"/>
        <v>Græs</v>
      </c>
      <c r="B65" s="171" t="str">
        <f t="shared" si="19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1"/>
        <v>0</v>
      </c>
      <c r="E65" s="171">
        <f t="shared" si="20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12872123.997018624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8268840.7021296145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0</v>
      </c>
      <c r="O65" s="179">
        <f t="shared" si="10"/>
        <v>4603283.2948890096</v>
      </c>
      <c r="P65" s="94">
        <f t="shared" si="4"/>
        <v>4603283.2948890096</v>
      </c>
      <c r="Q65" s="180">
        <f t="shared" si="11"/>
        <v>0</v>
      </c>
      <c r="R65">
        <f>IFERROR(VLOOKUP(A65,[1]Energiindhold!$A$2:$C$11,3,FALSE),IFERROR(VLOOKUP(A65,[1]Biogasudbytte!$A$2:$B$18,2,FALSE)*[1]Energiindhold!$C$10,0))*P65</f>
        <v>8.4694658521839177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8.4694658521839177</v>
      </c>
      <c r="T65">
        <f>IFERROR(VLOOKUP(A65,[1]Biogasudbytte!$A$2:$B$18,2,FALSE)*[1]Energiindhold!$C$10,0)*K65*IFERROR(VLOOKUP(A65,Biogasanlæg!$F$3:$G$8,2,FALSE),1)</f>
        <v>0</v>
      </c>
      <c r="U65" s="170">
        <f t="shared" si="12"/>
        <v>8.4694658521839177</v>
      </c>
      <c r="V65" s="169">
        <f>P65*IFERROR(VLOOKUP(A65,[1]Tørstofindhold!A$2:B$24,2,FALSE),0)</f>
        <v>1288919.3225689228</v>
      </c>
      <c r="W65">
        <f>IF(E65=År1,Q65,SUM(P65,Q65))*IFERROR(VLOOKUP(A65,[1]Tørstofindhold!A$2:B$24,2,FALSE),0)</f>
        <v>1288919.3225689228</v>
      </c>
      <c r="X65">
        <f>K65*IFERROR(VLOOKUP(A65,[1]Tørstofindhold!A$2:B$24,2,FALSE),0)</f>
        <v>0</v>
      </c>
      <c r="Y65" s="170">
        <f t="shared" si="13"/>
        <v>1288919.3225689228</v>
      </c>
      <c r="Z65">
        <f t="shared" si="1"/>
        <v>0</v>
      </c>
      <c r="AA65">
        <f t="shared" si="2"/>
        <v>1</v>
      </c>
      <c r="AB65" s="94">
        <f t="shared" si="8"/>
        <v>4603283.2948890096</v>
      </c>
      <c r="AC65">
        <f>AB65*D65*10000*VLOOKUP(A65,[1]kcal!$A$2:$C$49,3,FALSE)/1000000000000</f>
        <v>0</v>
      </c>
    </row>
    <row r="66" spans="1:29" x14ac:dyDescent="0.55000000000000004">
      <c r="A66" s="171" t="str">
        <f t="shared" si="18"/>
        <v>Græsprotein</v>
      </c>
      <c r="B66" s="171" t="str">
        <f t="shared" si="19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1"/>
        <v>0</v>
      </c>
      <c r="E66" s="171">
        <f t="shared" si="20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0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0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10"/>
        <v>0</v>
      </c>
      <c r="P66" s="94">
        <f t="shared" si="4"/>
        <v>0</v>
      </c>
      <c r="Q66" s="180">
        <f t="shared" si="11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2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3"/>
        <v>0</v>
      </c>
      <c r="Z66">
        <f t="shared" si="1"/>
        <v>0</v>
      </c>
      <c r="AA66">
        <f t="shared" si="2"/>
        <v>0</v>
      </c>
      <c r="AB66" s="94">
        <f t="shared" si="8"/>
        <v>0</v>
      </c>
      <c r="AC66">
        <f>AB66*D66*10000*VLOOKUP(A66,[1]kcal!$A$2:$C$49,3,FALSE)/1000000000000</f>
        <v>0</v>
      </c>
    </row>
    <row r="67" spans="1:29" x14ac:dyDescent="0.55000000000000004">
      <c r="A67" s="171" t="str">
        <f t="shared" si="18"/>
        <v>Grøntsager</v>
      </c>
      <c r="B67" s="171" t="str">
        <f t="shared" si="19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1"/>
        <v>1</v>
      </c>
      <c r="E67" s="171">
        <f t="shared" si="20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1149540.3784806253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10"/>
        <v>879399.66489533475</v>
      </c>
      <c r="P67" s="94">
        <f t="shared" si="4"/>
        <v>0</v>
      </c>
      <c r="Q67" s="180">
        <f t="shared" si="11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2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3"/>
        <v>0</v>
      </c>
      <c r="Z67">
        <f t="shared" si="1"/>
        <v>0</v>
      </c>
      <c r="AA67">
        <f t="shared" si="2"/>
        <v>1</v>
      </c>
      <c r="AB67" s="94">
        <f t="shared" si="8"/>
        <v>1149540.3784806253</v>
      </c>
      <c r="AC67">
        <f>AB67*D67*10000*VLOOKUP(A67,[1]kcal!$A$2:$C$49,3,FALSE)/1000000000000</f>
        <v>0.44832074760744389</v>
      </c>
    </row>
    <row r="68" spans="1:29" x14ac:dyDescent="0.55000000000000004">
      <c r="A68" s="171" t="str">
        <f t="shared" si="18"/>
        <v>Halm</v>
      </c>
      <c r="B68" s="171" t="str">
        <f t="shared" si="19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1"/>
        <v>0</v>
      </c>
      <c r="E68" s="171">
        <f t="shared" si="20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2426631.9934366029</v>
      </c>
      <c r="H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522363.62828034989</v>
      </c>
      <c r="I68" s="392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471959.19081652729</v>
      </c>
      <c r="J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2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1432309.174339727</v>
      </c>
      <c r="N68" s="393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10"/>
        <v>0</v>
      </c>
      <c r="P68" s="94">
        <f t="shared" ref="P68:P131" si="22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1"/>
        <v>1432309.174339727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14.80407024374086</v>
      </c>
      <c r="T68">
        <f>IFERROR(VLOOKUP(A68,[1]Biogasudbytte!$A$2:$B$18,2,FALSE)*[1]Energiindhold!$C$10,0)*K68*IFERROR(VLOOKUP(A68,Biogasanlæg!$F$3:$G$8,2,FALSE),1)</f>
        <v>0</v>
      </c>
      <c r="U68" s="170">
        <f t="shared" si="12"/>
        <v>14.80407024374086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1217462.7981887679</v>
      </c>
      <c r="X68">
        <f>K68*IFERROR(VLOOKUP(A68,[1]Tørstofindhold!A$2:B$24,2,FALSE),0)</f>
        <v>0</v>
      </c>
      <c r="Y68" s="170">
        <f t="shared" si="13"/>
        <v>1217462.7981887679</v>
      </c>
      <c r="Z68">
        <f t="shared" ref="Z68:Z131" si="23">IF(SUMIFS($O$4:$O$291,$A$4:$A$291,A68,$E$4:$E$291,E68)&lt;0,1,0)</f>
        <v>0</v>
      </c>
      <c r="AA68">
        <f t="shared" ref="AA68:AA131" si="24">IF(SUMIFS($O$4:$O$291,$A$4:$A$291,A68,$E$4:$E$291,E68)&gt;0,1,0)</f>
        <v>0</v>
      </c>
      <c r="AB68" s="94">
        <f t="shared" si="8"/>
        <v>1432309.1743397256</v>
      </c>
      <c r="AC68">
        <f>AB68*D68*10000*VLOOKUP(A68,[1]kcal!$A$2:$C$49,3,FALSE)/1000000000000</f>
        <v>0</v>
      </c>
    </row>
    <row r="69" spans="1:29" x14ac:dyDescent="0.55000000000000004">
      <c r="A69" s="171" t="str">
        <f t="shared" si="18"/>
        <v>Have/parkaffald</v>
      </c>
      <c r="B69" s="171" t="str">
        <f t="shared" si="19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1"/>
        <v>0</v>
      </c>
      <c r="E69" s="171">
        <f t="shared" si="20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10"/>
        <v>0</v>
      </c>
      <c r="P69" s="94">
        <f t="shared" si="22"/>
        <v>0</v>
      </c>
      <c r="Q69" s="180">
        <f t="shared" si="11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2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3"/>
        <v>37432.026380817726</v>
      </c>
      <c r="Z69">
        <f t="shared" si="23"/>
        <v>0</v>
      </c>
      <c r="AA69">
        <f t="shared" si="24"/>
        <v>0</v>
      </c>
      <c r="AB69" s="94">
        <f t="shared" ref="AB69:AB132" si="25">G69-SUMPRODUCT($H$2:$N$2,H69:N69)</f>
        <v>124773.42126939242</v>
      </c>
      <c r="AC69">
        <f>AB69*D69*10000*VLOOKUP(A69,[1]kcal!$A$2:$C$49,3,FALSE)/1000000000000</f>
        <v>0</v>
      </c>
    </row>
    <row r="70" spans="1:29" x14ac:dyDescent="0.55000000000000004">
      <c r="A70" s="171" t="str">
        <f t="shared" si="18"/>
        <v>Import af foder</v>
      </c>
      <c r="B70" s="171" t="str">
        <f t="shared" si="19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1"/>
        <v>1</v>
      </c>
      <c r="E70" s="171">
        <f t="shared" si="20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3262502.8463859628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10"/>
        <v>-3262502.8463859628</v>
      </c>
      <c r="P70" s="94">
        <f t="shared" si="22"/>
        <v>0</v>
      </c>
      <c r="Q70" s="180">
        <f t="shared" si="11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2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3"/>
        <v>0</v>
      </c>
      <c r="Z70">
        <f t="shared" si="23"/>
        <v>1</v>
      </c>
      <c r="AA70">
        <f t="shared" si="24"/>
        <v>0</v>
      </c>
      <c r="AB70" s="94">
        <f t="shared" si="25"/>
        <v>-3262502.8463859628</v>
      </c>
      <c r="AC70">
        <f>AB70*D70*10000*VLOOKUP(A70,[1]kcal!$A$2:$C$49,3,FALSE)/1000000000000</f>
        <v>-1.8596266224399989</v>
      </c>
    </row>
    <row r="71" spans="1:29" x14ac:dyDescent="0.55000000000000004">
      <c r="A71" s="171" t="str">
        <f t="shared" si="18"/>
        <v>Industriaffald</v>
      </c>
      <c r="B71" s="171" t="str">
        <f t="shared" si="19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1"/>
        <v>0</v>
      </c>
      <c r="E71" s="171">
        <f t="shared" si="20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402383.95965350419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10"/>
        <v>402383.95965350419</v>
      </c>
      <c r="P71" s="94">
        <f t="shared" si="22"/>
        <v>402383.95965350419</v>
      </c>
      <c r="Q71" s="180">
        <f t="shared" si="11"/>
        <v>0</v>
      </c>
      <c r="R71">
        <f>IFERROR(VLOOKUP(A71,[1]Energiindhold!$A$2:$C$11,3,FALSE),IFERROR(VLOOKUP(A71,[1]Biogasudbytte!$A$2:$B$18,2,FALSE)*[1]Energiindhold!$C$10,0))*P71</f>
        <v>1.7435820070933887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1.7435820070933887</v>
      </c>
      <c r="T71">
        <f>IFERROR(VLOOKUP(A71,[1]Biogasudbytte!$A$2:$B$18,2,FALSE)*[1]Energiindhold!$C$10,0)*K71*IFERROR(VLOOKUP(A71,Biogasanlæg!$F$3:$G$8,2,FALSE),1)</f>
        <v>0</v>
      </c>
      <c r="U71" s="170">
        <f t="shared" si="12"/>
        <v>1.7435820070933887</v>
      </c>
      <c r="V71" s="169">
        <f>P71*IFERROR(VLOOKUP(A71,[1]Tørstofindhold!A$2:B$24,2,FALSE),0)</f>
        <v>169001.26305447175</v>
      </c>
      <c r="W71">
        <f>IF(E71=År1,Q71,SUM(P71,Q71))*IFERROR(VLOOKUP(A71,[1]Tørstofindhold!A$2:B$24,2,FALSE),0)</f>
        <v>169001.26305447175</v>
      </c>
      <c r="X71">
        <f>K71*IFERROR(VLOOKUP(A71,[1]Tørstofindhold!A$2:B$24,2,FALSE),0)</f>
        <v>0</v>
      </c>
      <c r="Y71" s="170">
        <f t="shared" si="13"/>
        <v>169001.26305447175</v>
      </c>
      <c r="Z71">
        <f t="shared" si="23"/>
        <v>0</v>
      </c>
      <c r="AA71">
        <f t="shared" si="24"/>
        <v>1</v>
      </c>
      <c r="AB71" s="94">
        <f t="shared" si="25"/>
        <v>402383.95965350419</v>
      </c>
      <c r="AC71">
        <f>AB71*D71*10000*VLOOKUP(A71,[1]kcal!$A$2:$C$49,3,FALSE)/1000000000000</f>
        <v>0</v>
      </c>
    </row>
    <row r="72" spans="1:29" x14ac:dyDescent="0.55000000000000004">
      <c r="A72" s="171" t="str">
        <f t="shared" si="18"/>
        <v>Juletræer</v>
      </c>
      <c r="B72" s="171" t="str">
        <f t="shared" si="19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1"/>
        <v>0</v>
      </c>
      <c r="E72" s="171">
        <f t="shared" si="20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656412.81474727136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10"/>
        <v>656412.81474727136</v>
      </c>
      <c r="P72" s="94">
        <f t="shared" si="22"/>
        <v>0</v>
      </c>
      <c r="Q72" s="180">
        <f t="shared" si="11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2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3"/>
        <v>0</v>
      </c>
      <c r="Z72">
        <f t="shared" si="23"/>
        <v>0</v>
      </c>
      <c r="AA72">
        <f t="shared" si="24"/>
        <v>1</v>
      </c>
      <c r="AB72" s="94">
        <f t="shared" si="25"/>
        <v>656412.81474727136</v>
      </c>
      <c r="AC72">
        <f>AB72*D72*10000*VLOOKUP(A72,[1]kcal!$A$2:$C$49,3,FALSE)/1000000000000</f>
        <v>0</v>
      </c>
    </row>
    <row r="73" spans="1:29" x14ac:dyDescent="0.55000000000000004">
      <c r="A73" s="171" t="str">
        <f t="shared" si="18"/>
        <v>Kartofler</v>
      </c>
      <c r="B73" s="171" t="str">
        <f t="shared" si="19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1"/>
        <v>1</v>
      </c>
      <c r="E73" s="171">
        <f t="shared" si="20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1643930.6570275463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10"/>
        <v>1520398.9739307552</v>
      </c>
      <c r="P73" s="94">
        <f t="shared" si="22"/>
        <v>0</v>
      </c>
      <c r="Q73" s="180">
        <f t="shared" si="11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2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3"/>
        <v>0</v>
      </c>
      <c r="Z73">
        <f t="shared" si="23"/>
        <v>0</v>
      </c>
      <c r="AA73">
        <f t="shared" si="24"/>
        <v>1</v>
      </c>
      <c r="AB73" s="94">
        <f t="shared" si="25"/>
        <v>1643930.6570275463</v>
      </c>
      <c r="AC73">
        <f>AB73*D73*10000*VLOOKUP(A73,[1]kcal!$A$2:$C$49,3,FALSE)/1000000000000</f>
        <v>1.2822659124814861</v>
      </c>
    </row>
    <row r="74" spans="1:29" x14ac:dyDescent="0.55000000000000004">
      <c r="A74" s="171" t="str">
        <f t="shared" si="18"/>
        <v>Korn</v>
      </c>
      <c r="B74" s="171" t="str">
        <f t="shared" si="19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1"/>
        <v>1</v>
      </c>
      <c r="E74" s="171">
        <f t="shared" si="20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5038698.73969601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3972505.784940829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10"/>
        <v>770259.91173209902</v>
      </c>
      <c r="P74" s="94">
        <f t="shared" si="22"/>
        <v>770259.91173209902</v>
      </c>
      <c r="Q74" s="180">
        <f t="shared" si="11"/>
        <v>0</v>
      </c>
      <c r="R74">
        <f>IFERROR(VLOOKUP(A74,[1]Energiindhold!$A$2:$C$11,3,FALSE),IFERROR(VLOOKUP(A74,[1]Biogasudbytte!$A$2:$B$18,2,FALSE)*[1]Energiindhold!$C$10,0))*P74</f>
        <v>2.6380323612947971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2.6380323612947971</v>
      </c>
      <c r="T74">
        <f>IFERROR(VLOOKUP(A74,[1]Biogasudbytte!$A$2:$B$18,2,FALSE)*[1]Energiindhold!$C$10,0)*K74*IFERROR(VLOOKUP(A74,Biogasanlæg!$F$3:$G$8,2,FALSE),1)</f>
        <v>0</v>
      </c>
      <c r="U74" s="170">
        <f t="shared" si="12"/>
        <v>2.6380323612947971</v>
      </c>
      <c r="V74" s="169">
        <f>P74*IFERROR(VLOOKUP(A74,[1]Tørstofindhold!A$2:B$24,2,FALSE),0)</f>
        <v>238780.5726369507</v>
      </c>
      <c r="W74">
        <f>IF(E74=År1,Q74,SUM(P74,Q74))*IFERROR(VLOOKUP(A74,[1]Tørstofindhold!A$2:B$24,2,FALSE),0)</f>
        <v>238780.5726369507</v>
      </c>
      <c r="X74">
        <f>K74*IFERROR(VLOOKUP(A74,[1]Tørstofindhold!A$2:B$24,2,FALSE),0)</f>
        <v>0</v>
      </c>
      <c r="Y74" s="170">
        <f t="shared" si="13"/>
        <v>238780.5726369507</v>
      </c>
      <c r="Z74">
        <f t="shared" si="23"/>
        <v>0</v>
      </c>
      <c r="AA74">
        <f t="shared" si="24"/>
        <v>1</v>
      </c>
      <c r="AB74" s="94">
        <f t="shared" si="25"/>
        <v>1066192.954755181</v>
      </c>
      <c r="AC74">
        <f>AB74*D74*10000*VLOOKUP(A74,[1]kcal!$A$2:$C$49,3,FALSE)/1000000000000</f>
        <v>3.9022662144039626</v>
      </c>
    </row>
    <row r="75" spans="1:29" x14ac:dyDescent="0.55000000000000004">
      <c r="A75" s="171" t="str">
        <f t="shared" si="18"/>
        <v>Kunstgødning</v>
      </c>
      <c r="B75" s="171" t="str">
        <f t="shared" si="19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1"/>
        <v>0</v>
      </c>
      <c r="E75" s="171">
        <f t="shared" si="20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1439774.8708067413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10"/>
        <v>-1439774.8708067413</v>
      </c>
      <c r="P75" s="94">
        <f t="shared" si="22"/>
        <v>0</v>
      </c>
      <c r="Q75" s="180">
        <f t="shared" si="11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2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3"/>
        <v>0</v>
      </c>
      <c r="Z75">
        <f t="shared" ca="1" si="23"/>
        <v>1</v>
      </c>
      <c r="AA75">
        <f t="shared" ca="1" si="24"/>
        <v>0</v>
      </c>
      <c r="AB75" s="94">
        <f t="shared" ca="1" si="25"/>
        <v>-1439774.8708067413</v>
      </c>
      <c r="AC75">
        <f ca="1">AB75*D75*10000*VLOOKUP(A75,[1]kcal!$A$2:$C$49,3,FALSE)/1000000000000</f>
        <v>0</v>
      </c>
    </row>
    <row r="76" spans="1:29" x14ac:dyDescent="0.55000000000000004">
      <c r="A76" s="171" t="str">
        <f t="shared" si="18"/>
        <v>Kvæggylle</v>
      </c>
      <c r="B76" s="171" t="str">
        <f t="shared" si="19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1"/>
        <v>0</v>
      </c>
      <c r="E76" s="171">
        <f t="shared" si="20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7655848.0766037833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5741886.057452837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1913962.0191509458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10"/>
        <v>0</v>
      </c>
      <c r="P76" s="94">
        <f t="shared" si="22"/>
        <v>0</v>
      </c>
      <c r="Q76" s="180">
        <f t="shared" si="11"/>
        <v>5741886.057452837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2.9064853034220519</v>
      </c>
      <c r="T76">
        <f>IFERROR(VLOOKUP(A76,[1]Biogasudbytte!$A$2:$B$18,2,FALSE)*[1]Energiindhold!$C$10,0)*K76*IFERROR(VLOOKUP(A76,Biogasanlæg!$F$3:$G$8,2,FALSE),1)</f>
        <v>2.9064853034220519</v>
      </c>
      <c r="U76" s="170">
        <f t="shared" si="12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436383.34036641562</v>
      </c>
      <c r="X76">
        <f>K76*IFERROR(VLOOKUP(A76,[1]Tørstofindhold!A$2:B$24,2,FALSE),0)</f>
        <v>436383.34036641562</v>
      </c>
      <c r="Y76" s="170">
        <f t="shared" si="13"/>
        <v>0</v>
      </c>
      <c r="Z76">
        <f t="shared" si="23"/>
        <v>0</v>
      </c>
      <c r="AA76">
        <f t="shared" si="24"/>
        <v>0</v>
      </c>
      <c r="AB76" s="94">
        <f t="shared" si="25"/>
        <v>0</v>
      </c>
      <c r="AC76">
        <f>AB76*D76*10000*VLOOKUP(A76,[1]kcal!$A$2:$C$49,3,FALSE)/1000000000000</f>
        <v>0</v>
      </c>
    </row>
    <row r="77" spans="1:29" x14ac:dyDescent="0.55000000000000004">
      <c r="A77" s="171" t="str">
        <f t="shared" si="18"/>
        <v>Mælk til foder</v>
      </c>
      <c r="B77" s="171" t="str">
        <f t="shared" si="19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1"/>
        <v>0</v>
      </c>
      <c r="E77" s="171">
        <f t="shared" si="20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959947.99719994201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1024147.4612402687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10"/>
        <v>-64199.464040326653</v>
      </c>
      <c r="P77" s="94">
        <f t="shared" si="22"/>
        <v>0</v>
      </c>
      <c r="Q77" s="180">
        <f t="shared" si="11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2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3"/>
        <v>0</v>
      </c>
      <c r="Z77">
        <f t="shared" si="23"/>
        <v>1</v>
      </c>
      <c r="AA77">
        <f t="shared" si="24"/>
        <v>0</v>
      </c>
      <c r="AB77" s="94">
        <f t="shared" si="25"/>
        <v>-64199.464040326653</v>
      </c>
      <c r="AC77">
        <f>AB77*D77*10000*VLOOKUP(A77,[1]kcal!$A$2:$C$49,3,FALSE)/1000000000000</f>
        <v>0</v>
      </c>
    </row>
    <row r="78" spans="1:29" x14ac:dyDescent="0.55000000000000004">
      <c r="A78" s="171" t="str">
        <f t="shared" si="18"/>
        <v>Majs</v>
      </c>
      <c r="B78" s="171" t="str">
        <f t="shared" si="19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1"/>
        <v>1</v>
      </c>
      <c r="E78" s="171">
        <f t="shared" si="20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4548596.0037612533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3822394.3367212149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10"/>
        <v>726201.66704003839</v>
      </c>
      <c r="P78" s="94">
        <f t="shared" si="22"/>
        <v>726201.66704003839</v>
      </c>
      <c r="Q78" s="180">
        <f t="shared" si="11"/>
        <v>0</v>
      </c>
      <c r="R78">
        <f>IFERROR(VLOOKUP(A78,[1]Energiindhold!$A$2:$C$11,3,FALSE),IFERROR(VLOOKUP(A78,[1]Biogasudbytte!$A$2:$B$18,2,FALSE)*[1]Energiindhold!$C$10,0))*P78</f>
        <v>2.6070639846737382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2.6070639846737382</v>
      </c>
      <c r="T78">
        <f>IFERROR(VLOOKUP(A78,[1]Biogasudbytte!$A$2:$B$18,2,FALSE)*[1]Energiindhold!$C$10,0)*K78*IFERROR(VLOOKUP(A78,Biogasanlæg!$F$3:$G$8,2,FALSE),1)</f>
        <v>0</v>
      </c>
      <c r="U78" s="170">
        <f t="shared" si="12"/>
        <v>2.6070639846737382</v>
      </c>
      <c r="V78" s="169">
        <f>P78*IFERROR(VLOOKUP(A78,[1]Tørstofindhold!A$2:B$24,2,FALSE),0)</f>
        <v>217860.5001120115</v>
      </c>
      <c r="W78">
        <f>IF(E78=År1,Q78,SUM(P78,Q78))*IFERROR(VLOOKUP(A78,[1]Tørstofindhold!A$2:B$24,2,FALSE),0)</f>
        <v>217860.5001120115</v>
      </c>
      <c r="X78">
        <f>K78*IFERROR(VLOOKUP(A78,[1]Tørstofindhold!A$2:B$24,2,FALSE),0)</f>
        <v>0</v>
      </c>
      <c r="Y78" s="170">
        <f t="shared" si="13"/>
        <v>217860.5001120115</v>
      </c>
      <c r="Z78">
        <f t="shared" si="23"/>
        <v>0</v>
      </c>
      <c r="AA78">
        <f t="shared" si="24"/>
        <v>1</v>
      </c>
      <c r="AB78" s="94">
        <f t="shared" si="25"/>
        <v>726201.66704003839</v>
      </c>
      <c r="AC78">
        <f>AB78*D78*10000*VLOOKUP(A78,[1]kcal!$A$2:$C$49,3,FALSE)/1000000000000</f>
        <v>0.66084351700643496</v>
      </c>
    </row>
    <row r="79" spans="1:29" x14ac:dyDescent="0.55000000000000004">
      <c r="A79" s="171" t="str">
        <f t="shared" si="18"/>
        <v>Mejeriprodukter</v>
      </c>
      <c r="B79" s="171" t="str">
        <f t="shared" si="19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1"/>
        <v>1</v>
      </c>
      <c r="E79" s="171">
        <f t="shared" si="20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1852201.4318158275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10"/>
        <v>1379794.5557973294</v>
      </c>
      <c r="P79" s="94">
        <f t="shared" si="22"/>
        <v>0</v>
      </c>
      <c r="Q79" s="180">
        <f t="shared" si="11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2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3"/>
        <v>0</v>
      </c>
      <c r="Z79">
        <f t="shared" si="23"/>
        <v>0</v>
      </c>
      <c r="AA79">
        <f t="shared" si="24"/>
        <v>1</v>
      </c>
      <c r="AB79" s="94">
        <f t="shared" si="25"/>
        <v>1852201.4318158275</v>
      </c>
      <c r="AC79">
        <f>AB79*D79*10000*VLOOKUP(A79,[1]kcal!$A$2:$C$49,3,FALSE)/1000000000000</f>
        <v>1.1668869020439714</v>
      </c>
    </row>
    <row r="80" spans="1:29" x14ac:dyDescent="0.55000000000000004">
      <c r="A80" s="171" t="str">
        <f t="shared" si="18"/>
        <v>Muslinger</v>
      </c>
      <c r="B80" s="171" t="str">
        <f t="shared" si="19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1"/>
        <v>1</v>
      </c>
      <c r="E80" s="171">
        <f t="shared" si="20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10"/>
        <v>878.90231344976178</v>
      </c>
      <c r="P80" s="94">
        <f t="shared" si="22"/>
        <v>878.90231344976178</v>
      </c>
      <c r="Q80" s="180">
        <f t="shared" si="11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2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3"/>
        <v>131.83534701746427</v>
      </c>
      <c r="Z80">
        <f t="shared" si="23"/>
        <v>0</v>
      </c>
      <c r="AA80">
        <f t="shared" si="24"/>
        <v>1</v>
      </c>
      <c r="AB80" s="94">
        <f t="shared" si="25"/>
        <v>878.90231344976178</v>
      </c>
      <c r="AC80">
        <f>AB80*D80*10000*VLOOKUP(A80,[1]kcal!$A$2:$C$49,3,FALSE)/1000000000000</f>
        <v>7.2948892016330225E-4</v>
      </c>
    </row>
    <row r="81" spans="1:29" x14ac:dyDescent="0.55000000000000004">
      <c r="A81" s="171" t="str">
        <f t="shared" si="18"/>
        <v>Oksekød</v>
      </c>
      <c r="B81" s="171" t="str">
        <f t="shared" si="19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1"/>
        <v>1</v>
      </c>
      <c r="E81" s="171">
        <f t="shared" si="20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56168.51594495419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10"/>
        <v>-3859.7370939480752</v>
      </c>
      <c r="P81" s="94">
        <f t="shared" si="22"/>
        <v>0</v>
      </c>
      <c r="Q81" s="180">
        <f t="shared" si="11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2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3"/>
        <v>0</v>
      </c>
      <c r="Z81">
        <f t="shared" si="23"/>
        <v>1</v>
      </c>
      <c r="AA81">
        <f t="shared" si="24"/>
        <v>0</v>
      </c>
      <c r="AB81" s="94">
        <f t="shared" si="25"/>
        <v>56168.51594495419</v>
      </c>
      <c r="AC81">
        <f>AB81*D81*10000*VLOOKUP(A81,[1]kcal!$A$2:$C$49,3,FALSE)/1000000000000</f>
        <v>0.10952860609266067</v>
      </c>
    </row>
    <row r="82" spans="1:29" x14ac:dyDescent="0.55000000000000004">
      <c r="A82" s="171" t="str">
        <f t="shared" si="18"/>
        <v>Øvrige</v>
      </c>
      <c r="B82" s="171" t="str">
        <f t="shared" si="19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1"/>
        <v>1</v>
      </c>
      <c r="E82" s="171">
        <f t="shared" si="20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1438881.3046688165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10"/>
        <v>1438881.3046688165</v>
      </c>
      <c r="P82" s="94">
        <f t="shared" si="22"/>
        <v>0</v>
      </c>
      <c r="Q82" s="180">
        <f t="shared" si="11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2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3"/>
        <v>0</v>
      </c>
      <c r="Z82">
        <f t="shared" si="23"/>
        <v>0</v>
      </c>
      <c r="AA82">
        <f t="shared" si="24"/>
        <v>1</v>
      </c>
      <c r="AB82" s="94">
        <f t="shared" si="25"/>
        <v>1438881.3046688165</v>
      </c>
      <c r="AC82">
        <f>AB82*D82*10000*VLOOKUP(A82,[1]kcal!$A$2:$C$49,3,FALSE)/1000000000000</f>
        <v>0.56116370882083855</v>
      </c>
    </row>
    <row r="83" spans="1:29" x14ac:dyDescent="0.55000000000000004">
      <c r="A83" s="171" t="str">
        <f t="shared" si="18"/>
        <v>Pil &amp; poppel</v>
      </c>
      <c r="B83" s="171" t="str">
        <f t="shared" si="19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1"/>
        <v>0</v>
      </c>
      <c r="E83" s="171">
        <f t="shared" si="20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147783.41921503172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147783.41921503172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6">G83-SUM(H83:N83)</f>
        <v>0</v>
      </c>
      <c r="P83" s="94">
        <f t="shared" si="22"/>
        <v>0</v>
      </c>
      <c r="Q83" s="180">
        <f t="shared" ref="Q83:Q150" si="27">SUM(K83,M83)</f>
        <v>147783.41921503172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2.7192149135565833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8">S83-T83</f>
        <v>2.7192149135565833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61330.118974238168</v>
      </c>
      <c r="X83">
        <f>K83*IFERROR(VLOOKUP(A83,[1]Tørstofindhold!A$2:B$24,2,FALSE),0)</f>
        <v>0</v>
      </c>
      <c r="Y83" s="170">
        <f t="shared" ref="Y83:Y150" si="29">W83-X83</f>
        <v>61330.118974238168</v>
      </c>
      <c r="Z83">
        <f t="shared" si="23"/>
        <v>0</v>
      </c>
      <c r="AA83">
        <f t="shared" si="24"/>
        <v>0</v>
      </c>
      <c r="AB83" s="94">
        <f t="shared" si="25"/>
        <v>147783.41921503172</v>
      </c>
      <c r="AC83">
        <f>AB83*D83*10000*VLOOKUP(A83,[1]kcal!$A$2:$C$49,3,FALSE)/1000000000000</f>
        <v>0</v>
      </c>
    </row>
    <row r="84" spans="1:29" x14ac:dyDescent="0.55000000000000004">
      <c r="A84" s="171" t="str">
        <f t="shared" ref="A84:A85" si="30">A36</f>
        <v>Pyrolysegas</v>
      </c>
      <c r="B84" s="171" t="str">
        <f t="shared" ref="B84:B85" si="31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1"/>
        <v>0</v>
      </c>
      <c r="E84" s="171">
        <f t="shared" si="20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 t="shared" ref="O84:O85" si="32">G84-SUM(H84:N84)</f>
        <v>0</v>
      </c>
      <c r="P84" s="94">
        <f t="shared" si="22"/>
        <v>0</v>
      </c>
      <c r="Q84" s="180">
        <f t="shared" ref="Q84:Q85" si="33"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ref="U84:U85" si="34"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ref="Y84:Y85" si="35">W84-X84</f>
        <v>0</v>
      </c>
      <c r="Z84">
        <f t="shared" si="23"/>
        <v>0</v>
      </c>
      <c r="AA84">
        <f t="shared" si="24"/>
        <v>0</v>
      </c>
      <c r="AB84" s="94">
        <f t="shared" si="25"/>
        <v>0</v>
      </c>
      <c r="AC84">
        <f>AB84*D84*10000*VLOOKUP(A84,[1]kcal!$A$2:$C$49,3,FALSE)/1000000000000</f>
        <v>0</v>
      </c>
    </row>
    <row r="85" spans="1:29" x14ac:dyDescent="0.55000000000000004">
      <c r="A85" s="171" t="str">
        <f t="shared" si="30"/>
        <v>Pyrolyseolie</v>
      </c>
      <c r="B85" s="171" t="str">
        <f t="shared" si="31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1"/>
        <v>0</v>
      </c>
      <c r="E85" s="171">
        <f t="shared" si="20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 t="shared" si="32"/>
        <v>0</v>
      </c>
      <c r="P85" s="94">
        <f t="shared" si="22"/>
        <v>0</v>
      </c>
      <c r="Q85" s="180">
        <f t="shared" si="33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34"/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35"/>
        <v>0</v>
      </c>
      <c r="Z85">
        <f t="shared" si="23"/>
        <v>0</v>
      </c>
      <c r="AA85">
        <f t="shared" si="24"/>
        <v>0</v>
      </c>
      <c r="AB85" s="94">
        <f t="shared" si="25"/>
        <v>0</v>
      </c>
      <c r="AC85">
        <f>AB85*D85*10000*VLOOKUP(A85,[1]kcal!$A$2:$C$49,3,FALSE)/1000000000000</f>
        <v>0</v>
      </c>
    </row>
    <row r="86" spans="1:29" x14ac:dyDescent="0.55000000000000004">
      <c r="A86" s="171" t="str">
        <f t="shared" ref="A86:A131" si="36">A38</f>
        <v>Råmælk</v>
      </c>
      <c r="B86" s="171" t="str">
        <f t="shared" ref="B86:B131" si="37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1"/>
        <v>0</v>
      </c>
      <c r="E86" s="171">
        <f t="shared" si="20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2884255.8246315583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6"/>
        <v>2884255.8246315583</v>
      </c>
      <c r="P86" s="94">
        <f t="shared" si="22"/>
        <v>0</v>
      </c>
      <c r="Q86" s="180">
        <f t="shared" si="27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8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9"/>
        <v>0</v>
      </c>
      <c r="Z86">
        <f t="shared" si="23"/>
        <v>0</v>
      </c>
      <c r="AA86">
        <f t="shared" si="24"/>
        <v>1</v>
      </c>
      <c r="AB86" s="94">
        <f t="shared" si="25"/>
        <v>2884255.8246315583</v>
      </c>
      <c r="AC86">
        <f>AB86*D86*10000*VLOOKUP(A86,[1]kcal!$A$2:$C$49,3,FALSE)/1000000000000</f>
        <v>0</v>
      </c>
    </row>
    <row r="87" spans="1:29" x14ac:dyDescent="0.55000000000000004">
      <c r="A87" s="171" t="str">
        <f t="shared" si="36"/>
        <v>Raps</v>
      </c>
      <c r="B87" s="171" t="str">
        <f t="shared" si="37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1"/>
        <v>0</v>
      </c>
      <c r="E87" s="171">
        <f t="shared" si="20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484165.4025825432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484165.4025825432</v>
      </c>
      <c r="O87" s="179">
        <f t="shared" si="26"/>
        <v>0</v>
      </c>
      <c r="P87" s="94">
        <f t="shared" si="22"/>
        <v>0</v>
      </c>
      <c r="Q87" s="180">
        <f t="shared" si="27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8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9"/>
        <v>0</v>
      </c>
      <c r="Z87">
        <f t="shared" si="23"/>
        <v>0</v>
      </c>
      <c r="AA87">
        <f t="shared" si="24"/>
        <v>0</v>
      </c>
      <c r="AB87" s="94">
        <f t="shared" si="25"/>
        <v>484165.4025825432</v>
      </c>
      <c r="AC87">
        <f>AB87*D87*10000*VLOOKUP(A87,[1]kcal!$A$2:$C$49,3,FALSE)/1000000000000</f>
        <v>0</v>
      </c>
    </row>
    <row r="88" spans="1:29" x14ac:dyDescent="0.55000000000000004">
      <c r="A88" s="171" t="str">
        <f t="shared" si="36"/>
        <v>Rapskage</v>
      </c>
      <c r="B88" s="171" t="str">
        <f t="shared" si="37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1"/>
        <v>0</v>
      </c>
      <c r="E88" s="171">
        <f t="shared" si="20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242082.7012912716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144663.85534067627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6"/>
        <v>97418.845950595336</v>
      </c>
      <c r="P88" s="94">
        <f t="shared" si="22"/>
        <v>0</v>
      </c>
      <c r="Q88" s="180">
        <f t="shared" si="27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8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9"/>
        <v>0</v>
      </c>
      <c r="Z88">
        <f t="shared" si="23"/>
        <v>0</v>
      </c>
      <c r="AA88">
        <f t="shared" si="24"/>
        <v>1</v>
      </c>
      <c r="AB88" s="94">
        <f t="shared" si="25"/>
        <v>97418.845950595336</v>
      </c>
      <c r="AC88">
        <f>AB88*D88*10000*VLOOKUP(A88,[1]kcal!$A$2:$C$49,3,FALSE)/1000000000000</f>
        <v>0</v>
      </c>
    </row>
    <row r="89" spans="1:29" x14ac:dyDescent="0.55000000000000004">
      <c r="A89" s="171" t="str">
        <f t="shared" si="36"/>
        <v>Rapsolie</v>
      </c>
      <c r="B89" s="171" t="str">
        <f t="shared" si="37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1"/>
        <v>1</v>
      </c>
      <c r="E89" s="171">
        <f t="shared" si="20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154932.92882641382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154932.92882641382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6"/>
        <v>0</v>
      </c>
      <c r="P89" s="94">
        <f t="shared" si="22"/>
        <v>0</v>
      </c>
      <c r="Q89" s="180">
        <f t="shared" si="27"/>
        <v>154932.92882641382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5.4226525089244833</v>
      </c>
      <c r="T89">
        <f>IFERROR(VLOOKUP(A89,[1]Biogasudbytte!$A$2:$B$18,2,FALSE)*[1]Energiindhold!$C$10,0)*K89*IFERROR(VLOOKUP(A89,Biogasanlæg!$F$3:$G$8,2,FALSE),1)</f>
        <v>0</v>
      </c>
      <c r="U89" s="170">
        <f t="shared" si="28"/>
        <v>5.4226525089244833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9"/>
        <v>0</v>
      </c>
      <c r="Z89">
        <f t="shared" si="23"/>
        <v>0</v>
      </c>
      <c r="AA89">
        <f t="shared" si="24"/>
        <v>0</v>
      </c>
      <c r="AB89" s="94">
        <f t="shared" si="25"/>
        <v>154932.92882641382</v>
      </c>
      <c r="AC89">
        <f>AB89*D89*10000*VLOOKUP(A89,[1]kcal!$A$2:$C$49,3,FALSE)/1000000000000</f>
        <v>1.3943963594377244</v>
      </c>
    </row>
    <row r="90" spans="1:29" x14ac:dyDescent="0.55000000000000004">
      <c r="A90" s="171" t="str">
        <f t="shared" si="36"/>
        <v>Roer</v>
      </c>
      <c r="B90" s="171" t="str">
        <f t="shared" si="37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1"/>
        <v>1</v>
      </c>
      <c r="E90" s="171">
        <f t="shared" si="20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1802883.006068158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568365.52370248956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6"/>
        <v>1234517.4823656683</v>
      </c>
      <c r="P90" s="94">
        <f t="shared" si="22"/>
        <v>1234517.4823656683</v>
      </c>
      <c r="Q90" s="180">
        <f t="shared" si="27"/>
        <v>0</v>
      </c>
      <c r="R90">
        <f>IFERROR(VLOOKUP(A90,[1]Energiindhold!$A$2:$C$11,3,FALSE),IFERROR(VLOOKUP(A90,[1]Biogasudbytte!$A$2:$B$18,2,FALSE)*[1]Energiindhold!$C$10,0))*P90</f>
        <v>3.3505298278397184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3.3505298278397184</v>
      </c>
      <c r="T90">
        <f>IFERROR(VLOOKUP(A90,[1]Biogasudbytte!$A$2:$B$18,2,FALSE)*[1]Energiindhold!$C$10,0)*K90*IFERROR(VLOOKUP(A90,Biogasanlæg!$F$3:$G$8,2,FALSE),1)</f>
        <v>0</v>
      </c>
      <c r="U90" s="170">
        <f t="shared" si="28"/>
        <v>3.3505298278397184</v>
      </c>
      <c r="V90" s="169">
        <f>P90*IFERROR(VLOOKUP(A90,[1]Tørstofindhold!A$2:B$24,2,FALSE),0)</f>
        <v>246903.49647313368</v>
      </c>
      <c r="W90">
        <f>IF(E90=År1,Q90,SUM(P90,Q90))*IFERROR(VLOOKUP(A90,[1]Tørstofindhold!A$2:B$24,2,FALSE),0)</f>
        <v>246903.49647313368</v>
      </c>
      <c r="X90">
        <f>K90*IFERROR(VLOOKUP(A90,[1]Tørstofindhold!A$2:B$24,2,FALSE),0)</f>
        <v>0</v>
      </c>
      <c r="Y90" s="170">
        <f t="shared" si="29"/>
        <v>246903.49647313368</v>
      </c>
      <c r="Z90">
        <f t="shared" si="23"/>
        <v>0</v>
      </c>
      <c r="AA90">
        <f t="shared" si="24"/>
        <v>1</v>
      </c>
      <c r="AB90" s="94">
        <f t="shared" si="25"/>
        <v>1234517.4823656683</v>
      </c>
      <c r="AC90">
        <f>AB90*D90*10000*VLOOKUP(A90,[1]kcal!$A$2:$C$49,3,FALSE)/1000000000000</f>
        <v>0.37035524470970049</v>
      </c>
    </row>
    <row r="91" spans="1:29" x14ac:dyDescent="0.55000000000000004">
      <c r="A91" s="171" t="str">
        <f t="shared" si="36"/>
        <v>Slagteriaffald til andet</v>
      </c>
      <c r="B91" s="171" t="str">
        <f t="shared" si="37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1"/>
        <v>0</v>
      </c>
      <c r="E91" s="171">
        <f t="shared" si="20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100301.72992417146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6"/>
        <v>100301.72992417146</v>
      </c>
      <c r="P91" s="94">
        <f t="shared" si="22"/>
        <v>0</v>
      </c>
      <c r="Q91" s="180">
        <f t="shared" si="27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8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9"/>
        <v>0</v>
      </c>
      <c r="Z91">
        <f t="shared" si="23"/>
        <v>0</v>
      </c>
      <c r="AA91">
        <f t="shared" si="24"/>
        <v>1</v>
      </c>
      <c r="AB91" s="94">
        <f t="shared" si="25"/>
        <v>100301.72992417146</v>
      </c>
      <c r="AC91">
        <f>AB91*D91*10000*VLOOKUP(A91,[1]kcal!$A$2:$C$49,3,FALSE)/1000000000000</f>
        <v>0</v>
      </c>
    </row>
    <row r="92" spans="1:29" x14ac:dyDescent="0.55000000000000004">
      <c r="A92" s="171" t="str">
        <f t="shared" si="36"/>
        <v>Slagteriaffald til foder</v>
      </c>
      <c r="B92" s="171" t="str">
        <f t="shared" si="37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1"/>
        <v>0</v>
      </c>
      <c r="E92" s="171">
        <f t="shared" si="20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67791.218966454777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26632.676297028265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6"/>
        <v>41158.542669426512</v>
      </c>
      <c r="P92" s="94">
        <f t="shared" si="22"/>
        <v>0</v>
      </c>
      <c r="Q92" s="180">
        <f t="shared" si="27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8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9"/>
        <v>0</v>
      </c>
      <c r="Z92">
        <f t="shared" si="23"/>
        <v>0</v>
      </c>
      <c r="AA92">
        <f t="shared" si="24"/>
        <v>1</v>
      </c>
      <c r="AB92" s="94">
        <f t="shared" si="25"/>
        <v>41158.542669426512</v>
      </c>
      <c r="AC92">
        <f>AB92*D92*10000*VLOOKUP(A92,[1]kcal!$A$2:$C$49,3,FALSE)/1000000000000</f>
        <v>0</v>
      </c>
    </row>
    <row r="93" spans="1:29" x14ac:dyDescent="0.55000000000000004">
      <c r="A93" s="171" t="str">
        <f t="shared" si="36"/>
        <v>Spildevandsslam</v>
      </c>
      <c r="B93" s="171" t="str">
        <f t="shared" si="37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1"/>
        <v>0</v>
      </c>
      <c r="E93" s="171">
        <f t="shared" si="20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3924256.6047362923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2943192.4535522191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6"/>
        <v>981064.15118407318</v>
      </c>
      <c r="P93" s="94">
        <f t="shared" si="22"/>
        <v>981064.15118407318</v>
      </c>
      <c r="Q93" s="180">
        <f t="shared" si="27"/>
        <v>2943192.4535522191</v>
      </c>
      <c r="R93">
        <f>IFERROR(VLOOKUP(A93,[1]Energiindhold!$A$2:$C$11,3,FALSE),IFERROR(VLOOKUP(A93,[1]Biogasudbytte!$A$2:$B$18,2,FALSE)*[1]Energiindhold!$C$10,0))*P93</f>
        <v>0.48956082208236446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1.9582432883294574</v>
      </c>
      <c r="T93">
        <f>IFERROR(VLOOKUP(A93,[1]Biogasudbytte!$A$2:$B$18,2,FALSE)*[1]Energiindhold!$C$10,0)*K93*IFERROR(VLOOKUP(A93,Biogasanlæg!$F$3:$G$8,2,FALSE),1)</f>
        <v>1.468682466247093</v>
      </c>
      <c r="U93" s="170">
        <f t="shared" si="28"/>
        <v>0.4895608220823644</v>
      </c>
      <c r="V93" s="169">
        <f>P93*IFERROR(VLOOKUP(A93,[1]Tørstofindhold!A$2:B$24,2,FALSE),0)</f>
        <v>58863.849071044388</v>
      </c>
      <c r="W93">
        <f>IF(E93=År1,Q93,SUM(P93,Q93))*IFERROR(VLOOKUP(A93,[1]Tørstofindhold!A$2:B$24,2,FALSE),0)</f>
        <v>235455.39628417752</v>
      </c>
      <c r="X93">
        <f>K93*IFERROR(VLOOKUP(A93,[1]Tørstofindhold!A$2:B$24,2,FALSE),0)</f>
        <v>176591.54721313313</v>
      </c>
      <c r="Y93" s="170">
        <f t="shared" si="29"/>
        <v>58863.849071044388</v>
      </c>
      <c r="Z93">
        <f t="shared" si="23"/>
        <v>0</v>
      </c>
      <c r="AA93">
        <f t="shared" si="24"/>
        <v>1</v>
      </c>
      <c r="AB93" s="94">
        <f t="shared" si="25"/>
        <v>981064.15118407318</v>
      </c>
      <c r="AC93">
        <f>AB93*D93*10000*VLOOKUP(A93,[1]kcal!$A$2:$C$49,3,FALSE)/1000000000000</f>
        <v>0</v>
      </c>
    </row>
    <row r="94" spans="1:29" x14ac:dyDescent="0.55000000000000004">
      <c r="A94" s="171" t="str">
        <f t="shared" si="36"/>
        <v>Svinegylle</v>
      </c>
      <c r="B94" s="171" t="str">
        <f t="shared" si="37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1"/>
        <v>0</v>
      </c>
      <c r="E94" s="171">
        <f t="shared" si="20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6656017.1221692413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4992012.841626931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1664004.2805423103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6"/>
        <v>0</v>
      </c>
      <c r="P94" s="94">
        <f t="shared" si="22"/>
        <v>0</v>
      </c>
      <c r="Q94" s="180">
        <f t="shared" si="27"/>
        <v>4992012.841626931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2.1505591321728823</v>
      </c>
      <c r="T94">
        <f>IFERROR(VLOOKUP(A94,[1]Biogasudbytte!$A$2:$B$18,2,FALSE)*[1]Energiindhold!$C$10,0)*K94*IFERROR(VLOOKUP(A94,Biogasanlæg!$F$3:$G$8,2,FALSE),1)</f>
        <v>2.1505591321728823</v>
      </c>
      <c r="U94" s="170">
        <f t="shared" si="28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249600.64208134657</v>
      </c>
      <c r="X94">
        <f>K94*IFERROR(VLOOKUP(A94,[1]Tørstofindhold!A$2:B$24,2,FALSE),0)</f>
        <v>249600.64208134657</v>
      </c>
      <c r="Y94" s="170">
        <f t="shared" si="29"/>
        <v>0</v>
      </c>
      <c r="Z94">
        <f t="shared" si="23"/>
        <v>0</v>
      </c>
      <c r="AA94">
        <f t="shared" si="24"/>
        <v>0</v>
      </c>
      <c r="AB94" s="94">
        <f t="shared" si="25"/>
        <v>0</v>
      </c>
      <c r="AC94">
        <f>AB94*D94*10000*VLOOKUP(A94,[1]kcal!$A$2:$C$49,3,FALSE)/1000000000000</f>
        <v>0</v>
      </c>
    </row>
    <row r="95" spans="1:29" x14ac:dyDescent="0.55000000000000004">
      <c r="A95" s="171" t="str">
        <f t="shared" si="36"/>
        <v>Svinekød</v>
      </c>
      <c r="B95" s="171" t="str">
        <f t="shared" si="37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1"/>
        <v>1</v>
      </c>
      <c r="E95" s="171">
        <f t="shared" si="20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719809.07013594534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6"/>
        <v>597933.526087265</v>
      </c>
      <c r="P95" s="94">
        <f t="shared" si="22"/>
        <v>0</v>
      </c>
      <c r="Q95" s="180">
        <f t="shared" si="27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8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9"/>
        <v>0</v>
      </c>
      <c r="Z95">
        <f t="shared" si="23"/>
        <v>0</v>
      </c>
      <c r="AA95">
        <f t="shared" si="24"/>
        <v>1</v>
      </c>
      <c r="AB95" s="94">
        <f t="shared" si="25"/>
        <v>719809.07013594534</v>
      </c>
      <c r="AC95">
        <f>AB95*D95*10000*VLOOKUP(A95,[1]kcal!$A$2:$C$49,3,FALSE)/1000000000000</f>
        <v>1.4036276867650932</v>
      </c>
    </row>
    <row r="96" spans="1:29" x14ac:dyDescent="0.55000000000000004">
      <c r="A96" s="171" t="str">
        <f t="shared" si="36"/>
        <v>Tang</v>
      </c>
      <c r="B96" s="171" t="str">
        <f t="shared" si="37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1"/>
        <v>1</v>
      </c>
      <c r="E96" s="171">
        <f t="shared" si="20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6"/>
        <v>382.5</v>
      </c>
      <c r="P96" s="94">
        <f t="shared" si="22"/>
        <v>382.5</v>
      </c>
      <c r="Q96" s="180">
        <f t="shared" si="27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8"/>
        <v>3.4329375000000003E-4</v>
      </c>
      <c r="V96" s="169">
        <f>P96*IFERROR(VLOOKUP(A96,[1]Tørstofindhold!A$2:B$24,2,FALSE),0)</f>
        <v>57.375</v>
      </c>
      <c r="W96">
        <f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9"/>
        <v>57.375</v>
      </c>
      <c r="Z96">
        <f t="shared" si="23"/>
        <v>0</v>
      </c>
      <c r="AA96">
        <f t="shared" si="24"/>
        <v>1</v>
      </c>
      <c r="AB96" s="94">
        <f t="shared" si="25"/>
        <v>382.5</v>
      </c>
      <c r="AC96">
        <f>AB96*D96*10000*VLOOKUP(A96,[1]kcal!$A$2:$C$49,3,FALSE)/1000000000000</f>
        <v>1.5605999999999999E-4</v>
      </c>
    </row>
    <row r="97" spans="1:29" x14ac:dyDescent="0.55000000000000004">
      <c r="A97" s="171" t="str">
        <f t="shared" si="36"/>
        <v>Total til biogas</v>
      </c>
      <c r="B97" s="171" t="str">
        <f t="shared" si="37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1"/>
        <v>0</v>
      </c>
      <c r="E97" s="171">
        <f t="shared" si="20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6"/>
        <v>0</v>
      </c>
      <c r="P97" s="94">
        <f t="shared" si="22"/>
        <v>0</v>
      </c>
      <c r="Q97" s="180">
        <f t="shared" si="27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8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9"/>
        <v>0</v>
      </c>
      <c r="Z97">
        <f t="shared" si="23"/>
        <v>0</v>
      </c>
      <c r="AA97">
        <f t="shared" si="24"/>
        <v>0</v>
      </c>
      <c r="AB97" s="94">
        <f t="shared" si="25"/>
        <v>0</v>
      </c>
      <c r="AC97">
        <f>AB97*D97*10000*VLOOKUP(A97,[1]kcal!$A$2:$C$49,3,FALSE)/1000000000000</f>
        <v>0</v>
      </c>
    </row>
    <row r="98" spans="1:29" x14ac:dyDescent="0.55000000000000004">
      <c r="A98" s="171" t="str">
        <f t="shared" si="36"/>
        <v>Træ til energi</v>
      </c>
      <c r="B98" s="171" t="str">
        <f t="shared" si="37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1"/>
        <v>0</v>
      </c>
      <c r="E98" s="171">
        <f t="shared" si="20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2225869.1010711943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2225869.1010711943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6"/>
        <v>0</v>
      </c>
      <c r="P98" s="94">
        <f t="shared" ca="1" si="22"/>
        <v>0</v>
      </c>
      <c r="Q98" s="180">
        <f t="shared" ca="1" si="27"/>
        <v>2225869.1010711943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32.260787180482176</v>
      </c>
      <c r="T98">
        <f>IFERROR(VLOOKUP(A98,[1]Biogasudbytte!$A$2:$B$18,2,FALSE)*[1]Energiindhold!$C$10,0)*K98*IFERROR(VLOOKUP(A98,Biogasanlæg!$F$3:$G$8,2,FALSE),1)</f>
        <v>0</v>
      </c>
      <c r="U98" s="170">
        <f t="shared" ca="1" si="28"/>
        <v>32.260787180482176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1100877.7595714615</v>
      </c>
      <c r="X98">
        <f>K98*IFERROR(VLOOKUP(A98,[1]Tørstofindhold!A$2:B$24,2,FALSE),0)</f>
        <v>0</v>
      </c>
      <c r="Y98" s="170">
        <f t="shared" ca="1" si="29"/>
        <v>1100877.7595714615</v>
      </c>
      <c r="Z98">
        <f t="shared" ca="1" si="23"/>
        <v>0</v>
      </c>
      <c r="AA98">
        <f t="shared" ca="1" si="24"/>
        <v>0</v>
      </c>
      <c r="AB98" s="94">
        <f t="shared" ca="1" si="25"/>
        <v>2225869.1010711943</v>
      </c>
      <c r="AC98">
        <f ca="1">AB98*D98*10000*VLOOKUP(A98,[1]kcal!$A$2:$C$49,3,FALSE)/1000000000000</f>
        <v>0</v>
      </c>
    </row>
    <row r="99" spans="1:29" x14ac:dyDescent="0.55000000000000004">
      <c r="A99" s="171" t="str">
        <f t="shared" si="36"/>
        <v>Træmaterialer</v>
      </c>
      <c r="B99" s="171" t="str">
        <f t="shared" si="37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1"/>
        <v>0</v>
      </c>
      <c r="E99" s="171">
        <f t="shared" si="20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613377.28282504401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613377.28282504401</v>
      </c>
      <c r="O99" s="179">
        <f t="shared" ca="1" si="26"/>
        <v>0</v>
      </c>
      <c r="P99" s="94">
        <f t="shared" si="22"/>
        <v>0</v>
      </c>
      <c r="Q99" s="180">
        <f t="shared" si="27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8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9"/>
        <v>0</v>
      </c>
      <c r="Z99">
        <f t="shared" ca="1" si="23"/>
        <v>0</v>
      </c>
      <c r="AA99">
        <f t="shared" ca="1" si="24"/>
        <v>0</v>
      </c>
      <c r="AB99" s="94">
        <f t="shared" ca="1" si="25"/>
        <v>613377.28282504401</v>
      </c>
      <c r="AC99">
        <f ca="1">AB99*D99*10000*VLOOKUP(A99,[1]kcal!$A$2:$C$49,3,FALSE)/1000000000000</f>
        <v>0</v>
      </c>
    </row>
    <row r="100" spans="1:29" x14ac:dyDescent="0.55000000000000004">
      <c r="A100" s="171" t="str">
        <f t="shared" si="36"/>
        <v>Æg</v>
      </c>
      <c r="B100" s="171" t="str">
        <f t="shared" si="37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1"/>
        <v>1</v>
      </c>
      <c r="E100" s="171">
        <f t="shared" ref="E100:E147" si="38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38948.680417674739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6"/>
        <v>5098.7115312299211</v>
      </c>
      <c r="P100" s="94">
        <f t="shared" si="22"/>
        <v>0</v>
      </c>
      <c r="Q100" s="180">
        <f t="shared" si="27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8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9"/>
        <v>0</v>
      </c>
      <c r="Z100">
        <f t="shared" si="23"/>
        <v>1</v>
      </c>
      <c r="AA100">
        <f t="shared" si="24"/>
        <v>0</v>
      </c>
      <c r="AB100" s="94">
        <f t="shared" si="25"/>
        <v>38948.680417674739</v>
      </c>
      <c r="AC100">
        <f>AB100*D100*10000*VLOOKUP(A100,[1]kcal!$A$2:$C$49,3,FALSE)/1000000000000</f>
        <v>5.3749178976391136E-2</v>
      </c>
    </row>
    <row r="101" spans="1:29" x14ac:dyDescent="0.55000000000000004">
      <c r="A101" s="171" t="str">
        <f t="shared" si="36"/>
        <v>Bælgsæd</v>
      </c>
      <c r="B101" s="171" t="str">
        <f t="shared" si="37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1"/>
        <v>1</v>
      </c>
      <c r="E101" s="171">
        <f t="shared" si="38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1461503.2991938624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5548.5022247895331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6"/>
        <v>1455954.7969690729</v>
      </c>
      <c r="P101" s="94">
        <f t="shared" si="22"/>
        <v>0</v>
      </c>
      <c r="Q101" s="180">
        <f t="shared" si="27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8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9"/>
        <v>0</v>
      </c>
      <c r="Z101">
        <f t="shared" si="23"/>
        <v>0</v>
      </c>
      <c r="AA101">
        <f t="shared" si="24"/>
        <v>1</v>
      </c>
      <c r="AB101" s="94">
        <f t="shared" si="25"/>
        <v>1455954.7969690729</v>
      </c>
      <c r="AC101">
        <f>AB101*D101*10000*VLOOKUP(A101,[1]kcal!$A$2:$C$49,3,FALSE)/1000000000000</f>
        <v>10.111606064950211</v>
      </c>
    </row>
    <row r="102" spans="1:29" x14ac:dyDescent="0.55000000000000004">
      <c r="A102" s="171" t="str">
        <f t="shared" si="36"/>
        <v>Bioaffald</v>
      </c>
      <c r="B102" s="171" t="str">
        <f t="shared" si="37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1"/>
        <v>0</v>
      </c>
      <c r="E102" s="171">
        <f t="shared" si="38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6"/>
        <v>0</v>
      </c>
      <c r="P102" s="94">
        <f t="shared" ca="1" si="22"/>
        <v>0</v>
      </c>
      <c r="Q102" s="180">
        <f t="shared" ca="1" si="27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8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9"/>
        <v>55295.557743957776</v>
      </c>
      <c r="Z102">
        <f t="shared" ca="1" si="23"/>
        <v>0</v>
      </c>
      <c r="AA102">
        <f t="shared" ca="1" si="24"/>
        <v>0</v>
      </c>
      <c r="AB102" s="94">
        <f t="shared" ca="1" si="25"/>
        <v>197484.13479984918</v>
      </c>
      <c r="AC102">
        <f ca="1">AB102*D102*10000*VLOOKUP(A102,[1]kcal!$A$2:$C$49,3,FALSE)/1000000000000</f>
        <v>0</v>
      </c>
    </row>
    <row r="103" spans="1:29" x14ac:dyDescent="0.55000000000000004">
      <c r="A103" s="171" t="str">
        <f t="shared" si="36"/>
        <v>Biogas</v>
      </c>
      <c r="B103" s="171" t="str">
        <f t="shared" si="37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1"/>
        <v>0</v>
      </c>
      <c r="E103" s="171">
        <f t="shared" si="38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154707932.21283442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154707932.21283442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6"/>
        <v>0</v>
      </c>
      <c r="P103" s="94">
        <f t="shared" ca="1" si="22"/>
        <v>0</v>
      </c>
      <c r="Q103" s="180">
        <f t="shared" ca="1" si="27"/>
        <v>154707932.21283442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8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9"/>
        <v>0</v>
      </c>
      <c r="Z103">
        <f t="shared" ca="1" si="23"/>
        <v>0</v>
      </c>
      <c r="AA103">
        <f t="shared" ca="1" si="24"/>
        <v>0</v>
      </c>
      <c r="AB103" s="94">
        <f t="shared" ca="1" si="25"/>
        <v>154707932.21283442</v>
      </c>
      <c r="AC103">
        <f ca="1">AB103*D103*10000*VLOOKUP(A103,[1]kcal!$A$2:$C$49,3,FALSE)/1000000000000</f>
        <v>0</v>
      </c>
    </row>
    <row r="104" spans="1:29" x14ac:dyDescent="0.55000000000000004">
      <c r="A104" s="171" t="str">
        <f t="shared" si="36"/>
        <v>Biogasgylle</v>
      </c>
      <c r="B104" s="171" t="str">
        <f t="shared" si="37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1"/>
        <v>0</v>
      </c>
      <c r="E104" s="171">
        <f t="shared" si="38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4885897.4700810183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495509.77237359248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6"/>
        <v>4390387.6977074258</v>
      </c>
      <c r="P104" s="94">
        <f t="shared" si="22"/>
        <v>0</v>
      </c>
      <c r="Q104" s="180">
        <f t="shared" si="27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8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9"/>
        <v>0</v>
      </c>
      <c r="Z104">
        <f t="shared" ca="1" si="23"/>
        <v>0</v>
      </c>
      <c r="AA104">
        <f t="shared" ca="1" si="24"/>
        <v>1</v>
      </c>
      <c r="AB104" s="94">
        <f t="shared" ca="1" si="25"/>
        <v>4390387.6977074258</v>
      </c>
      <c r="AC104">
        <f ca="1">AB104*D104*10000*VLOOKUP(A104,[1]kcal!$A$2:$C$49,3,FALSE)/1000000000000</f>
        <v>0</v>
      </c>
    </row>
    <row r="105" spans="1:29" x14ac:dyDescent="0.55000000000000004">
      <c r="A105" s="171" t="str">
        <f t="shared" si="36"/>
        <v>Brun saft</v>
      </c>
      <c r="B105" s="171" t="str">
        <f t="shared" si="37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1"/>
        <v>0</v>
      </c>
      <c r="E105" s="171">
        <f t="shared" si="38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0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0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6"/>
        <v>0</v>
      </c>
      <c r="P105" s="94">
        <f t="shared" si="22"/>
        <v>0</v>
      </c>
      <c r="Q105" s="180">
        <f t="shared" si="27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8"/>
        <v>0</v>
      </c>
      <c r="V105" s="169">
        <f>P105*IFERROR(VLOOKUP(A105,[1]Tørstofindhold!A$2:B$24,2,FALSE),0)</f>
        <v>0</v>
      </c>
      <c r="W105">
        <f>IF(E105=År1,Q105,SUM(P105,Q105))*IFERROR(VLOOKUP(A105,[1]Tørstofindhold!A$2:B$24,2,FALSE),0)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9"/>
        <v>0</v>
      </c>
      <c r="Z105">
        <f t="shared" si="23"/>
        <v>0</v>
      </c>
      <c r="AA105">
        <f t="shared" si="24"/>
        <v>0</v>
      </c>
      <c r="AB105" s="94">
        <f t="shared" si="25"/>
        <v>0</v>
      </c>
      <c r="AC105">
        <f>AB105*D105*10000*VLOOKUP(A105,[1]kcal!$A$2:$C$49,3,FALSE)/1000000000000</f>
        <v>0</v>
      </c>
    </row>
    <row r="106" spans="1:29" x14ac:dyDescent="0.55000000000000004">
      <c r="A106" s="171" t="str">
        <f t="shared" si="36"/>
        <v>Dybstrøelse</v>
      </c>
      <c r="B106" s="171" t="str">
        <f t="shared" si="37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1"/>
        <v>0</v>
      </c>
      <c r="E106" s="171">
        <f t="shared" si="38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396632.81426913757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356969.53284222382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15015.385111617346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6"/>
        <v>24647.896315296413</v>
      </c>
      <c r="P106" s="94">
        <f t="shared" si="22"/>
        <v>24647.896315296413</v>
      </c>
      <c r="Q106" s="180">
        <f t="shared" si="27"/>
        <v>356969.53284222382</v>
      </c>
      <c r="R106">
        <f>IFERROR(VLOOKUP(A106,[1]Energiindhold!$A$2:$C$11,3,FALSE),IFERROR(VLOOKUP(A106,[1]Biogasudbytte!$A$2:$B$18,2,FALSE)*[1]Energiindhold!$C$10,0))*P106</f>
        <v>5.3091568663148472E-2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0.82200394240529862</v>
      </c>
      <c r="T106">
        <f>IFERROR(VLOOKUP(A106,[1]Biogasudbytte!$A$2:$B$18,2,FALSE)*[1]Energiindhold!$C$10,0)*K106*IFERROR(VLOOKUP(A106,Biogasanlæg!$F$3:$G$8,2,FALSE),1)</f>
        <v>0.76891237374215016</v>
      </c>
      <c r="U106" s="170">
        <f t="shared" si="28"/>
        <v>5.3091568663148458E-2</v>
      </c>
      <c r="V106" s="169">
        <f>P106*IFERROR(VLOOKUP(A106,[1]Tørstofindhold!A$2:B$24,2,FALSE),0)</f>
        <v>7394.3688945889235</v>
      </c>
      <c r="W106">
        <f>IF(E106=År1,Q106,SUM(P106,Q106))*IFERROR(VLOOKUP(A106,[1]Tørstofindhold!A$2:B$24,2,FALSE),0)</f>
        <v>114485.22874725607</v>
      </c>
      <c r="X106">
        <f>K106*IFERROR(VLOOKUP(A106,[1]Tørstofindhold!A$2:B$24,2,FALSE),0)</f>
        <v>107090.85985266714</v>
      </c>
      <c r="Y106" s="170">
        <f t="shared" si="29"/>
        <v>7394.3688945889298</v>
      </c>
      <c r="Z106">
        <f t="shared" si="23"/>
        <v>0</v>
      </c>
      <c r="AA106">
        <f t="shared" si="24"/>
        <v>1</v>
      </c>
      <c r="AB106" s="94">
        <f t="shared" si="25"/>
        <v>24647.896315296413</v>
      </c>
      <c r="AC106">
        <f>AB106*D106*10000*VLOOKUP(A106,[1]kcal!$A$2:$C$49,3,FALSE)/1000000000000</f>
        <v>0</v>
      </c>
    </row>
    <row r="107" spans="1:29" x14ac:dyDescent="0.55000000000000004">
      <c r="A107" s="171" t="str">
        <f t="shared" si="36"/>
        <v>Fiberfraktion</v>
      </c>
      <c r="B107" s="171" t="str">
        <f t="shared" si="37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1"/>
        <v>0</v>
      </c>
      <c r="E107" s="171">
        <f t="shared" si="38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0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0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6"/>
        <v>0</v>
      </c>
      <c r="P107" s="94">
        <f t="shared" si="22"/>
        <v>0</v>
      </c>
      <c r="Q107" s="180">
        <f t="shared" si="27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8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9"/>
        <v>0</v>
      </c>
      <c r="Z107">
        <f t="shared" si="23"/>
        <v>0</v>
      </c>
      <c r="AA107">
        <f t="shared" si="24"/>
        <v>0</v>
      </c>
      <c r="AB107" s="94">
        <f t="shared" si="25"/>
        <v>0</v>
      </c>
      <c r="AC107">
        <f>AB107*D107*10000*VLOOKUP(A107,[1]kcal!$A$2:$C$49,3,FALSE)/1000000000000</f>
        <v>0</v>
      </c>
    </row>
    <row r="108" spans="1:29" x14ac:dyDescent="0.55000000000000004">
      <c r="A108" s="171" t="str">
        <f t="shared" si="36"/>
        <v>Fjerkrægylle</v>
      </c>
      <c r="B108" s="171" t="str">
        <f t="shared" si="37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1"/>
        <v>0</v>
      </c>
      <c r="E108" s="171">
        <f t="shared" si="38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5618.4151705662098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5056.5736535095893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561.84151705662089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6"/>
        <v>0</v>
      </c>
      <c r="P108" s="94">
        <f t="shared" si="22"/>
        <v>0</v>
      </c>
      <c r="Q108" s="180">
        <f t="shared" si="27"/>
        <v>5056.5736535095893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2.3780560235090249E-3</v>
      </c>
      <c r="T108">
        <f>IFERROR(VLOOKUP(A108,[1]Biogasudbytte!$A$2:$B$18,2,FALSE)*[1]Energiindhold!$C$10,0)*K108*IFERROR(VLOOKUP(A108,Biogasanlæg!$F$3:$G$8,2,FALSE),1)</f>
        <v>2.3780560235090249E-3</v>
      </c>
      <c r="U108" s="170">
        <f t="shared" si="28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318.56414017110416</v>
      </c>
      <c r="X108">
        <f>K108*IFERROR(VLOOKUP(A108,[1]Tørstofindhold!A$2:B$24,2,FALSE),0)</f>
        <v>318.56414017110416</v>
      </c>
      <c r="Y108" s="170">
        <f t="shared" si="29"/>
        <v>0</v>
      </c>
      <c r="Z108">
        <f t="shared" si="23"/>
        <v>0</v>
      </c>
      <c r="AA108">
        <f t="shared" si="24"/>
        <v>0</v>
      </c>
      <c r="AB108" s="94">
        <f t="shared" si="25"/>
        <v>0</v>
      </c>
      <c r="AC108">
        <f>AB108*D108*10000*VLOOKUP(A108,[1]kcal!$A$2:$C$49,3,FALSE)/1000000000000</f>
        <v>0</v>
      </c>
    </row>
    <row r="109" spans="1:29" x14ac:dyDescent="0.55000000000000004">
      <c r="A109" s="171" t="str">
        <f t="shared" si="36"/>
        <v>Fjerkrækød</v>
      </c>
      <c r="B109" s="171" t="str">
        <f t="shared" si="37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1"/>
        <v>1</v>
      </c>
      <c r="E109" s="171">
        <f t="shared" si="38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6001.6248923716248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6"/>
        <v>-30669.174734610257</v>
      </c>
      <c r="P109" s="94">
        <f t="shared" si="22"/>
        <v>0</v>
      </c>
      <c r="Q109" s="180">
        <f t="shared" si="27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8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9"/>
        <v>0</v>
      </c>
      <c r="Z109">
        <f t="shared" si="23"/>
        <v>1</v>
      </c>
      <c r="AA109">
        <f t="shared" si="24"/>
        <v>0</v>
      </c>
      <c r="AB109" s="94">
        <f t="shared" si="25"/>
        <v>6001.6248923716248</v>
      </c>
      <c r="AC109">
        <f>AB109*D109*10000*VLOOKUP(A109,[1]kcal!$A$2:$C$49,3,FALSE)/1000000000000</f>
        <v>9.1224698364048683E-3</v>
      </c>
    </row>
    <row r="110" spans="1:29" x14ac:dyDescent="0.55000000000000004">
      <c r="A110" s="171" t="str">
        <f t="shared" si="36"/>
        <v>Frø</v>
      </c>
      <c r="B110" s="171" t="str">
        <f t="shared" si="37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1"/>
        <v>0</v>
      </c>
      <c r="E110" s="171">
        <f t="shared" si="38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5541.8750535368863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6"/>
        <v>5541.8750535368863</v>
      </c>
      <c r="P110" s="94">
        <f t="shared" si="22"/>
        <v>0</v>
      </c>
      <c r="Q110" s="180">
        <f t="shared" si="27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8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9"/>
        <v>0</v>
      </c>
      <c r="Z110">
        <f t="shared" si="23"/>
        <v>0</v>
      </c>
      <c r="AA110">
        <f t="shared" si="24"/>
        <v>1</v>
      </c>
      <c r="AB110" s="94">
        <f t="shared" si="25"/>
        <v>5541.8750535368863</v>
      </c>
      <c r="AC110">
        <f>AB110*D110*10000*VLOOKUP(A110,[1]kcal!$A$2:$C$49,3,FALSE)/1000000000000</f>
        <v>0</v>
      </c>
    </row>
    <row r="111" spans="1:29" x14ac:dyDescent="0.55000000000000004">
      <c r="A111" s="171" t="str">
        <f t="shared" si="36"/>
        <v>Frugt</v>
      </c>
      <c r="B111" s="171" t="str">
        <f t="shared" si="37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1"/>
        <v>1</v>
      </c>
      <c r="E111" s="171">
        <f t="shared" si="38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1792737.3458964743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6"/>
        <v>1524758.4255454529</v>
      </c>
      <c r="P111" s="94">
        <f t="shared" si="22"/>
        <v>0</v>
      </c>
      <c r="Q111" s="180">
        <f t="shared" si="27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8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9"/>
        <v>0</v>
      </c>
      <c r="Z111">
        <f t="shared" si="23"/>
        <v>0</v>
      </c>
      <c r="AA111">
        <f t="shared" si="24"/>
        <v>1</v>
      </c>
      <c r="AB111" s="94">
        <f t="shared" si="25"/>
        <v>1792737.3458964743</v>
      </c>
      <c r="AC111">
        <f>AB111*D111*10000*VLOOKUP(A111,[1]kcal!$A$2:$C$49,3,FALSE)/1000000000000</f>
        <v>0.93222341986616675</v>
      </c>
    </row>
    <row r="112" spans="1:29" x14ac:dyDescent="0.55000000000000004">
      <c r="A112" s="171" t="str">
        <f t="shared" si="36"/>
        <v>Glycerin</v>
      </c>
      <c r="B112" s="171" t="str">
        <f t="shared" si="37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1"/>
        <v>0</v>
      </c>
      <c r="E112" s="171">
        <f t="shared" si="38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6"/>
        <v>-114193.60000000001</v>
      </c>
      <c r="P112" s="94">
        <f t="shared" si="22"/>
        <v>0</v>
      </c>
      <c r="Q112" s="180">
        <f t="shared" si="27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8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9"/>
        <v>0</v>
      </c>
      <c r="Z112">
        <f t="shared" si="23"/>
        <v>1</v>
      </c>
      <c r="AA112">
        <f t="shared" si="24"/>
        <v>0</v>
      </c>
      <c r="AB112" s="94">
        <f t="shared" si="25"/>
        <v>-114193.60000000001</v>
      </c>
      <c r="AC112">
        <f>AB112*D112*10000*VLOOKUP(A112,[1]kcal!$A$2:$C$49,3,FALSE)/1000000000000</f>
        <v>0</v>
      </c>
    </row>
    <row r="113" spans="1:29" x14ac:dyDescent="0.55000000000000004">
      <c r="A113" s="171" t="str">
        <f t="shared" si="36"/>
        <v>Græs</v>
      </c>
      <c r="B113" s="171" t="str">
        <f t="shared" si="37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1"/>
        <v>0</v>
      </c>
      <c r="E113" s="171">
        <f t="shared" si="38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27470991.955365088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1052751.2346229136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0</v>
      </c>
      <c r="O113" s="179">
        <f t="shared" si="26"/>
        <v>26418240.720742173</v>
      </c>
      <c r="P113" s="94">
        <f t="shared" si="22"/>
        <v>26418240.720742173</v>
      </c>
      <c r="Q113" s="180">
        <f t="shared" si="27"/>
        <v>0</v>
      </c>
      <c r="R113">
        <f>IFERROR(VLOOKUP(A113,[1]Energiindhold!$A$2:$C$11,3,FALSE),IFERROR(VLOOKUP(A113,[1]Biogasudbytte!$A$2:$B$18,2,FALSE)*[1]Energiindhold!$C$10,0))*P113</f>
        <v>48.606260646075512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48.606260646075512</v>
      </c>
      <c r="T113">
        <f>IFERROR(VLOOKUP(A113,[1]Biogasudbytte!$A$2:$B$18,2,FALSE)*[1]Energiindhold!$C$10,0)*K113*IFERROR(VLOOKUP(A113,Biogasanlæg!$F$3:$G$8,2,FALSE),1)</f>
        <v>0</v>
      </c>
      <c r="U113" s="170">
        <f t="shared" si="28"/>
        <v>48.606260646075512</v>
      </c>
      <c r="V113" s="169">
        <f>P113*IFERROR(VLOOKUP(A113,[1]Tørstofindhold!A$2:B$24,2,FALSE),0)</f>
        <v>7397107.4018078092</v>
      </c>
      <c r="W113">
        <f>IF(E113=År1,Q113,SUM(P113,Q113))*IFERROR(VLOOKUP(A113,[1]Tørstofindhold!A$2:B$24,2,FALSE),0)</f>
        <v>7397107.4018078092</v>
      </c>
      <c r="X113">
        <f>K113*IFERROR(VLOOKUP(A113,[1]Tørstofindhold!A$2:B$24,2,FALSE),0)</f>
        <v>0</v>
      </c>
      <c r="Y113" s="170">
        <f t="shared" si="29"/>
        <v>7397107.4018078092</v>
      </c>
      <c r="Z113">
        <f t="shared" si="23"/>
        <v>0</v>
      </c>
      <c r="AA113">
        <f t="shared" si="24"/>
        <v>1</v>
      </c>
      <c r="AB113" s="94">
        <f t="shared" si="25"/>
        <v>26418240.720742173</v>
      </c>
      <c r="AC113">
        <f>AB113*D113*10000*VLOOKUP(A113,[1]kcal!$A$2:$C$49,3,FALSE)/1000000000000</f>
        <v>0</v>
      </c>
    </row>
    <row r="114" spans="1:29" x14ac:dyDescent="0.55000000000000004">
      <c r="A114" s="171" t="str">
        <f t="shared" si="36"/>
        <v>Græsprotein</v>
      </c>
      <c r="B114" s="171" t="str">
        <f t="shared" si="37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1"/>
        <v>0</v>
      </c>
      <c r="E114" s="171">
        <f t="shared" si="38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0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0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6"/>
        <v>0</v>
      </c>
      <c r="P114" s="94">
        <f t="shared" si="22"/>
        <v>0</v>
      </c>
      <c r="Q114" s="180">
        <f t="shared" si="27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8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9"/>
        <v>0</v>
      </c>
      <c r="Z114">
        <f t="shared" si="23"/>
        <v>0</v>
      </c>
      <c r="AA114">
        <f t="shared" si="24"/>
        <v>0</v>
      </c>
      <c r="AB114" s="94">
        <f t="shared" si="25"/>
        <v>0</v>
      </c>
      <c r="AC114">
        <f>AB114*D114*10000*VLOOKUP(A114,[1]kcal!$A$2:$C$49,3,FALSE)/1000000000000</f>
        <v>0</v>
      </c>
    </row>
    <row r="115" spans="1:29" x14ac:dyDescent="0.55000000000000004">
      <c r="A115" s="171" t="str">
        <f t="shared" si="36"/>
        <v>Grøntsager</v>
      </c>
      <c r="B115" s="171" t="str">
        <f t="shared" si="37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1"/>
        <v>1</v>
      </c>
      <c r="E115" s="171">
        <f t="shared" si="38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3574924.4318902972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6"/>
        <v>3294251.7732068589</v>
      </c>
      <c r="P115" s="94">
        <f t="shared" si="22"/>
        <v>0</v>
      </c>
      <c r="Q115" s="180">
        <f t="shared" si="27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8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9"/>
        <v>0</v>
      </c>
      <c r="Z115">
        <f t="shared" si="23"/>
        <v>0</v>
      </c>
      <c r="AA115">
        <f t="shared" si="24"/>
        <v>1</v>
      </c>
      <c r="AB115" s="94">
        <f t="shared" si="25"/>
        <v>3574924.4318902972</v>
      </c>
      <c r="AC115">
        <f>AB115*D115*10000*VLOOKUP(A115,[1]kcal!$A$2:$C$49,3,FALSE)/1000000000000</f>
        <v>1.3942205284372158</v>
      </c>
    </row>
    <row r="116" spans="1:29" x14ac:dyDescent="0.55000000000000004">
      <c r="A116" s="171" t="str">
        <f t="shared" si="36"/>
        <v>Halm</v>
      </c>
      <c r="B116" s="171" t="str">
        <f t="shared" si="37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1"/>
        <v>0</v>
      </c>
      <c r="E116" s="171">
        <f t="shared" si="38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1112034.6998953791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66504.964166574544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50454.584612926636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995075.1511158779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6"/>
        <v>0</v>
      </c>
      <c r="P116" s="94">
        <f t="shared" si="22"/>
        <v>0</v>
      </c>
      <c r="Q116" s="180">
        <f t="shared" si="27"/>
        <v>995075.1511158779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10.284904054818577</v>
      </c>
      <c r="T116">
        <f>IFERROR(VLOOKUP(A116,[1]Biogasudbytte!$A$2:$B$18,2,FALSE)*[1]Energiindhold!$C$10,0)*K116*IFERROR(VLOOKUP(A116,Biogasanlæg!$F$3:$G$8,2,FALSE),1)</f>
        <v>0</v>
      </c>
      <c r="U116" s="170">
        <f t="shared" si="28"/>
        <v>10.284904054818577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845813.87844849622</v>
      </c>
      <c r="X116">
        <f>K116*IFERROR(VLOOKUP(A116,[1]Tørstofindhold!A$2:B$24,2,FALSE),0)</f>
        <v>0</v>
      </c>
      <c r="Y116" s="170">
        <f t="shared" si="29"/>
        <v>845813.87844849622</v>
      </c>
      <c r="Z116">
        <f t="shared" si="23"/>
        <v>0</v>
      </c>
      <c r="AA116">
        <f t="shared" si="24"/>
        <v>0</v>
      </c>
      <c r="AB116" s="94">
        <f t="shared" si="25"/>
        <v>995075.15111587802</v>
      </c>
      <c r="AC116">
        <f>AB116*D116*10000*VLOOKUP(A116,[1]kcal!$A$2:$C$49,3,FALSE)/1000000000000</f>
        <v>0</v>
      </c>
    </row>
    <row r="117" spans="1:29" x14ac:dyDescent="0.55000000000000004">
      <c r="A117" s="171" t="str">
        <f t="shared" si="36"/>
        <v>Have/parkaffald</v>
      </c>
      <c r="B117" s="171" t="str">
        <f t="shared" si="37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9">D69</f>
        <v>0</v>
      </c>
      <c r="E117" s="171">
        <f t="shared" si="38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6"/>
        <v>0</v>
      </c>
      <c r="P117" s="94">
        <f t="shared" si="22"/>
        <v>0</v>
      </c>
      <c r="Q117" s="180">
        <f t="shared" si="27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8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9"/>
        <v>450.0549347489723</v>
      </c>
      <c r="Z117">
        <f t="shared" si="23"/>
        <v>0</v>
      </c>
      <c r="AA117">
        <f t="shared" si="24"/>
        <v>0</v>
      </c>
      <c r="AB117" s="94">
        <f t="shared" si="25"/>
        <v>1500.1831158298883</v>
      </c>
      <c r="AC117">
        <f>AB117*D117*10000*VLOOKUP(A117,[1]kcal!$A$2:$C$49,3,FALSE)/1000000000000</f>
        <v>0</v>
      </c>
    </row>
    <row r="118" spans="1:29" x14ac:dyDescent="0.55000000000000004">
      <c r="A118" s="171" t="str">
        <f t="shared" si="36"/>
        <v>Import af foder</v>
      </c>
      <c r="B118" s="171" t="str">
        <f t="shared" si="37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9"/>
        <v>1</v>
      </c>
      <c r="E118" s="171">
        <f t="shared" si="38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415367.04155021644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6"/>
        <v>-415367.04155021644</v>
      </c>
      <c r="P118" s="94">
        <f t="shared" si="22"/>
        <v>0</v>
      </c>
      <c r="Q118" s="180">
        <f t="shared" si="27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8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9"/>
        <v>0</v>
      </c>
      <c r="Z118">
        <f t="shared" si="23"/>
        <v>1</v>
      </c>
      <c r="AA118">
        <f t="shared" si="24"/>
        <v>0</v>
      </c>
      <c r="AB118" s="94">
        <f t="shared" si="25"/>
        <v>-415367.04155021644</v>
      </c>
      <c r="AC118">
        <f>AB118*D118*10000*VLOOKUP(A118,[1]kcal!$A$2:$C$49,3,FALSE)/1000000000000</f>
        <v>-0.23675921368362338</v>
      </c>
    </row>
    <row r="119" spans="1:29" x14ac:dyDescent="0.55000000000000004">
      <c r="A119" s="171" t="str">
        <f t="shared" si="36"/>
        <v>Industriaffald</v>
      </c>
      <c r="B119" s="171" t="str">
        <f t="shared" si="37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9"/>
        <v>0</v>
      </c>
      <c r="E119" s="171">
        <f t="shared" si="38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214268.06810170741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6"/>
        <v>214268.06810170741</v>
      </c>
      <c r="P119" s="94">
        <f t="shared" si="22"/>
        <v>214268.06810170741</v>
      </c>
      <c r="Q119" s="180">
        <f t="shared" si="27"/>
        <v>0</v>
      </c>
      <c r="R119">
        <f>IFERROR(VLOOKUP(A119,[1]Energiindhold!$A$2:$C$11,3,FALSE),IFERROR(VLOOKUP(A119,[1]Biogasudbytte!$A$2:$B$18,2,FALSE)*[1]Energiindhold!$C$10,0))*P119</f>
        <v>0.92845139393355158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0.92845139393355158</v>
      </c>
      <c r="T119">
        <f>IFERROR(VLOOKUP(A119,[1]Biogasudbytte!$A$2:$B$18,2,FALSE)*[1]Energiindhold!$C$10,0)*K119*IFERROR(VLOOKUP(A119,Biogasanlæg!$F$3:$G$8,2,FALSE),1)</f>
        <v>0</v>
      </c>
      <c r="U119" s="170">
        <f t="shared" si="28"/>
        <v>0.92845139393355158</v>
      </c>
      <c r="V119" s="169">
        <f>P119*IFERROR(VLOOKUP(A119,[1]Tørstofindhold!A$2:B$24,2,FALSE),0)</f>
        <v>89992.588602717107</v>
      </c>
      <c r="W119">
        <f>IF(E119=År1,Q119,SUM(P119,Q119))*IFERROR(VLOOKUP(A119,[1]Tørstofindhold!A$2:B$24,2,FALSE),0)</f>
        <v>89992.588602717107</v>
      </c>
      <c r="X119">
        <f>K119*IFERROR(VLOOKUP(A119,[1]Tørstofindhold!A$2:B$24,2,FALSE),0)</f>
        <v>0</v>
      </c>
      <c r="Y119" s="170">
        <f t="shared" si="29"/>
        <v>89992.588602717107</v>
      </c>
      <c r="Z119">
        <f t="shared" si="23"/>
        <v>0</v>
      </c>
      <c r="AA119">
        <f t="shared" si="24"/>
        <v>1</v>
      </c>
      <c r="AB119" s="94">
        <f t="shared" si="25"/>
        <v>214268.06810170741</v>
      </c>
      <c r="AC119">
        <f>AB119*D119*10000*VLOOKUP(A119,[1]kcal!$A$2:$C$49,3,FALSE)/1000000000000</f>
        <v>0</v>
      </c>
    </row>
    <row r="120" spans="1:29" x14ac:dyDescent="0.55000000000000004">
      <c r="A120" s="171" t="str">
        <f t="shared" si="36"/>
        <v>Juletræer</v>
      </c>
      <c r="B120" s="171" t="str">
        <f t="shared" si="37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9"/>
        <v>0</v>
      </c>
      <c r="E120" s="171">
        <f t="shared" si="38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576432.67952835571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6"/>
        <v>576432.67952835571</v>
      </c>
      <c r="P120" s="94">
        <f t="shared" si="22"/>
        <v>0</v>
      </c>
      <c r="Q120" s="180">
        <f t="shared" si="27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8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9"/>
        <v>0</v>
      </c>
      <c r="Z120">
        <f t="shared" si="23"/>
        <v>0</v>
      </c>
      <c r="AA120">
        <f t="shared" si="24"/>
        <v>1</v>
      </c>
      <c r="AB120" s="94">
        <f t="shared" si="25"/>
        <v>576432.67952835571</v>
      </c>
      <c r="AC120">
        <f>AB120*D120*10000*VLOOKUP(A120,[1]kcal!$A$2:$C$49,3,FALSE)/1000000000000</f>
        <v>0</v>
      </c>
    </row>
    <row r="121" spans="1:29" x14ac:dyDescent="0.55000000000000004">
      <c r="A121" s="171" t="str">
        <f t="shared" si="36"/>
        <v>Kartofler</v>
      </c>
      <c r="B121" s="171" t="str">
        <f t="shared" si="37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9"/>
        <v>1</v>
      </c>
      <c r="E121" s="171">
        <f t="shared" si="38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6540.3387577996864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6"/>
        <v>-121807.45993663692</v>
      </c>
      <c r="P121" s="94">
        <f t="shared" si="22"/>
        <v>0</v>
      </c>
      <c r="Q121" s="180">
        <f t="shared" si="27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8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9"/>
        <v>0</v>
      </c>
      <c r="Z121">
        <f t="shared" si="23"/>
        <v>1</v>
      </c>
      <c r="AA121">
        <f t="shared" si="24"/>
        <v>0</v>
      </c>
      <c r="AB121" s="94">
        <f t="shared" si="25"/>
        <v>6540.3387577996864</v>
      </c>
      <c r="AC121">
        <f>AB121*D121*10000*VLOOKUP(A121,[1]kcal!$A$2:$C$49,3,FALSE)/1000000000000</f>
        <v>5.1014642310837554E-3</v>
      </c>
    </row>
    <row r="122" spans="1:29" x14ac:dyDescent="0.55000000000000004">
      <c r="A122" s="171" t="str">
        <f t="shared" si="36"/>
        <v>Korn</v>
      </c>
      <c r="B122" s="171" t="str">
        <f t="shared" si="37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9"/>
        <v>1</v>
      </c>
      <c r="E122" s="171">
        <f t="shared" si="38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17585.624267945121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505761.3902957458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6"/>
        <v>-795646.31674634118</v>
      </c>
      <c r="P122" s="94">
        <f t="shared" si="22"/>
        <v>0</v>
      </c>
      <c r="Q122" s="180">
        <f t="shared" si="27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8"/>
        <v>0</v>
      </c>
      <c r="V122" s="169">
        <f>P122*IFERROR(VLOOKUP(A122,[1]Tørstofindhold!A$2:B$24,2,FALSE),0)</f>
        <v>0</v>
      </c>
      <c r="W122">
        <f>IF(E122=År1,Q122,SUM(P122,Q122))*IFERROR(VLOOKUP(A122,[1]Tørstofindhold!A$2:B$24,2,FALSE),0)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9"/>
        <v>0</v>
      </c>
      <c r="Z122">
        <f t="shared" si="23"/>
        <v>1</v>
      </c>
      <c r="AA122">
        <f t="shared" si="24"/>
        <v>0</v>
      </c>
      <c r="AB122" s="94">
        <f t="shared" si="25"/>
        <v>-488175.76602780068</v>
      </c>
      <c r="AC122">
        <f>AB122*D122*10000*VLOOKUP(A122,[1]kcal!$A$2:$C$49,3,FALSE)/1000000000000</f>
        <v>-1.7867233036617505</v>
      </c>
    </row>
    <row r="123" spans="1:29" x14ac:dyDescent="0.55000000000000004">
      <c r="A123" s="171" t="str">
        <f t="shared" si="36"/>
        <v>Kunstgødning</v>
      </c>
      <c r="B123" s="171" t="str">
        <f t="shared" si="37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9"/>
        <v>0</v>
      </c>
      <c r="E123" s="171">
        <f t="shared" si="38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3130893.6010473287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6"/>
        <v>-3130893.6010473287</v>
      </c>
      <c r="P123" s="94">
        <f t="shared" si="22"/>
        <v>0</v>
      </c>
      <c r="Q123" s="180">
        <f t="shared" si="27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8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9"/>
        <v>0</v>
      </c>
      <c r="Z123">
        <f t="shared" ca="1" si="23"/>
        <v>1</v>
      </c>
      <c r="AA123">
        <f t="shared" ca="1" si="24"/>
        <v>0</v>
      </c>
      <c r="AB123" s="94">
        <f t="shared" ca="1" si="25"/>
        <v>-3130893.6010473287</v>
      </c>
      <c r="AC123">
        <f ca="1">AB123*D123*10000*VLOOKUP(A123,[1]kcal!$A$2:$C$49,3,FALSE)/1000000000000</f>
        <v>0</v>
      </c>
    </row>
    <row r="124" spans="1:29" x14ac:dyDescent="0.55000000000000004">
      <c r="A124" s="171" t="str">
        <f t="shared" si="36"/>
        <v>Kvæggylle</v>
      </c>
      <c r="B124" s="171" t="str">
        <f t="shared" si="37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9"/>
        <v>0</v>
      </c>
      <c r="E124" s="171">
        <f t="shared" si="38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784839.05717902537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706355.15146112291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78483.905717902526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6"/>
        <v>0</v>
      </c>
      <c r="P124" s="94">
        <f t="shared" si="22"/>
        <v>0</v>
      </c>
      <c r="Q124" s="180">
        <f t="shared" si="27"/>
        <v>706355.15146112291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0.35754991411810583</v>
      </c>
      <c r="T124">
        <f>IFERROR(VLOOKUP(A124,[1]Biogasudbytte!$A$2:$B$18,2,FALSE)*[1]Energiindhold!$C$10,0)*K124*IFERROR(VLOOKUP(A124,Biogasanlæg!$F$3:$G$8,2,FALSE),1)</f>
        <v>0.35754991411810583</v>
      </c>
      <c r="U124" s="170">
        <f t="shared" si="28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53682.991511045337</v>
      </c>
      <c r="X124">
        <f>K124*IFERROR(VLOOKUP(A124,[1]Tørstofindhold!A$2:B$24,2,FALSE),0)</f>
        <v>53682.991511045337</v>
      </c>
      <c r="Y124" s="170">
        <f t="shared" si="29"/>
        <v>0</v>
      </c>
      <c r="Z124">
        <f t="shared" si="23"/>
        <v>0</v>
      </c>
      <c r="AA124">
        <f t="shared" si="24"/>
        <v>0</v>
      </c>
      <c r="AB124" s="94">
        <f t="shared" si="25"/>
        <v>0</v>
      </c>
      <c r="AC124">
        <f>AB124*D124*10000*VLOOKUP(A124,[1]kcal!$A$2:$C$49,3,FALSE)/1000000000000</f>
        <v>0</v>
      </c>
    </row>
    <row r="125" spans="1:29" x14ac:dyDescent="0.55000000000000004">
      <c r="A125" s="171" t="str">
        <f t="shared" si="36"/>
        <v>Mælk til foder</v>
      </c>
      <c r="B125" s="171" t="str">
        <f t="shared" si="37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9"/>
        <v>0</v>
      </c>
      <c r="E125" s="171">
        <f t="shared" si="38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99775.251913510743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130389.80228255401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6"/>
        <v>-30614.550369043267</v>
      </c>
      <c r="P125" s="94">
        <f t="shared" si="22"/>
        <v>0</v>
      </c>
      <c r="Q125" s="180">
        <f t="shared" si="27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8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9"/>
        <v>0</v>
      </c>
      <c r="Z125">
        <f t="shared" si="23"/>
        <v>1</v>
      </c>
      <c r="AA125">
        <f t="shared" si="24"/>
        <v>0</v>
      </c>
      <c r="AB125" s="94">
        <f t="shared" si="25"/>
        <v>-30614.550369043267</v>
      </c>
      <c r="AC125">
        <f>AB125*D125*10000*VLOOKUP(A125,[1]kcal!$A$2:$C$49,3,FALSE)/1000000000000</f>
        <v>0</v>
      </c>
    </row>
    <row r="126" spans="1:29" x14ac:dyDescent="0.55000000000000004">
      <c r="A126" s="171" t="str">
        <f t="shared" si="36"/>
        <v>Majs</v>
      </c>
      <c r="B126" s="171" t="str">
        <f t="shared" si="37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9"/>
        <v>1</v>
      </c>
      <c r="E126" s="171">
        <f t="shared" si="38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24354.977510479563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486649.88263258187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6"/>
        <v>-462294.9051221023</v>
      </c>
      <c r="P126" s="94">
        <f t="shared" si="22"/>
        <v>0</v>
      </c>
      <c r="Q126" s="180">
        <f t="shared" si="27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8"/>
        <v>0</v>
      </c>
      <c r="V126" s="169">
        <f>P126*IFERROR(VLOOKUP(A126,[1]Tørstofindhold!A$2:B$24,2,FALSE),0)</f>
        <v>0</v>
      </c>
      <c r="W126">
        <f>IF(E126=År1,Q126,SUM(P126,Q126))*IFERROR(VLOOKUP(A126,[1]Tørstofindhold!A$2:B$24,2,FALSE),0)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9"/>
        <v>0</v>
      </c>
      <c r="Z126">
        <f t="shared" si="23"/>
        <v>1</v>
      </c>
      <c r="AA126">
        <f t="shared" si="24"/>
        <v>0</v>
      </c>
      <c r="AB126" s="94">
        <f t="shared" si="25"/>
        <v>-462294.9051221023</v>
      </c>
      <c r="AC126">
        <f>AB126*D126*10000*VLOOKUP(A126,[1]kcal!$A$2:$C$49,3,FALSE)/1000000000000</f>
        <v>-0.42068836366111306</v>
      </c>
    </row>
    <row r="127" spans="1:29" x14ac:dyDescent="0.55000000000000004">
      <c r="A127" s="171" t="str">
        <f t="shared" si="36"/>
        <v>Mejeriprodukter</v>
      </c>
      <c r="B127" s="171" t="str">
        <f t="shared" si="37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9"/>
        <v>1</v>
      </c>
      <c r="E127" s="171">
        <f t="shared" si="38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192514.45390067078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6"/>
        <v>-298310.09495277912</v>
      </c>
      <c r="P127" s="94">
        <f t="shared" si="22"/>
        <v>0</v>
      </c>
      <c r="Q127" s="180">
        <f t="shared" si="27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8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9"/>
        <v>0</v>
      </c>
      <c r="Z127">
        <f t="shared" si="23"/>
        <v>1</v>
      </c>
      <c r="AA127">
        <f t="shared" si="24"/>
        <v>0</v>
      </c>
      <c r="AB127" s="94">
        <f t="shared" si="25"/>
        <v>192514.45390067078</v>
      </c>
      <c r="AC127">
        <f>AB127*D127*10000*VLOOKUP(A127,[1]kcal!$A$2:$C$49,3,FALSE)/1000000000000</f>
        <v>0.12128410595742257</v>
      </c>
    </row>
    <row r="128" spans="1:29" x14ac:dyDescent="0.55000000000000004">
      <c r="A128" s="171" t="str">
        <f t="shared" si="36"/>
        <v>Muslinger</v>
      </c>
      <c r="B128" s="171" t="str">
        <f t="shared" si="37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9"/>
        <v>1</v>
      </c>
      <c r="E128" s="171">
        <f t="shared" si="38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6"/>
        <v>878.90231344976178</v>
      </c>
      <c r="P128" s="94">
        <f t="shared" si="22"/>
        <v>878.90231344976178</v>
      </c>
      <c r="Q128" s="180">
        <f t="shared" si="27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8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9"/>
        <v>131.83534701746427</v>
      </c>
      <c r="Z128">
        <f t="shared" si="23"/>
        <v>0</v>
      </c>
      <c r="AA128">
        <f t="shared" si="24"/>
        <v>1</v>
      </c>
      <c r="AB128" s="94">
        <f t="shared" si="25"/>
        <v>878.90231344976178</v>
      </c>
      <c r="AC128">
        <f>AB128*D128*10000*VLOOKUP(A128,[1]kcal!$A$2:$C$49,3,FALSE)/1000000000000</f>
        <v>7.2948892016330225E-4</v>
      </c>
    </row>
    <row r="129" spans="1:29" x14ac:dyDescent="0.55000000000000004">
      <c r="A129" s="171" t="str">
        <f t="shared" si="36"/>
        <v>Oksekød</v>
      </c>
      <c r="B129" s="171" t="str">
        <f t="shared" si="37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9"/>
        <v>1</v>
      </c>
      <c r="E129" s="171">
        <f t="shared" si="38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3620.6587311595463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6"/>
        <v>-58747.908942115035</v>
      </c>
      <c r="P129" s="94">
        <f t="shared" si="22"/>
        <v>0</v>
      </c>
      <c r="Q129" s="180">
        <f t="shared" si="27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8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9"/>
        <v>0</v>
      </c>
      <c r="Z129">
        <f t="shared" si="23"/>
        <v>1</v>
      </c>
      <c r="AA129">
        <f t="shared" si="24"/>
        <v>0</v>
      </c>
      <c r="AB129" s="94">
        <f t="shared" si="25"/>
        <v>3620.6587311595463</v>
      </c>
      <c r="AC129">
        <f>AB129*D129*10000*VLOOKUP(A129,[1]kcal!$A$2:$C$49,3,FALSE)/1000000000000</f>
        <v>7.0602845257611152E-3</v>
      </c>
    </row>
    <row r="130" spans="1:29" x14ac:dyDescent="0.55000000000000004">
      <c r="A130" s="171" t="str">
        <f t="shared" si="36"/>
        <v>Øvrige</v>
      </c>
      <c r="B130" s="171" t="str">
        <f t="shared" si="37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9"/>
        <v>1</v>
      </c>
      <c r="E130" s="171">
        <f t="shared" si="38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4681.8686166152675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6"/>
        <v>4681.8686166152675</v>
      </c>
      <c r="P130" s="94">
        <f t="shared" si="22"/>
        <v>0</v>
      </c>
      <c r="Q130" s="180">
        <f t="shared" si="27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8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9"/>
        <v>0</v>
      </c>
      <c r="Z130">
        <f t="shared" si="23"/>
        <v>0</v>
      </c>
      <c r="AA130">
        <f t="shared" si="24"/>
        <v>1</v>
      </c>
      <c r="AB130" s="94">
        <f t="shared" si="25"/>
        <v>4681.8686166152675</v>
      </c>
      <c r="AC130">
        <f>AB130*D130*10000*VLOOKUP(A130,[1]kcal!$A$2:$C$49,3,FALSE)/1000000000000</f>
        <v>1.8259287604799543E-3</v>
      </c>
    </row>
    <row r="131" spans="1:29" x14ac:dyDescent="0.55000000000000004">
      <c r="A131" s="171" t="str">
        <f t="shared" si="36"/>
        <v>Pil &amp; poppel</v>
      </c>
      <c r="B131" s="171" t="str">
        <f t="shared" si="37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9"/>
        <v>0</v>
      </c>
      <c r="E131" s="171">
        <f t="shared" si="38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109495.6819733945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109495.6819733945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6"/>
        <v>0</v>
      </c>
      <c r="P131" s="94">
        <f t="shared" si="22"/>
        <v>0</v>
      </c>
      <c r="Q131" s="180">
        <f t="shared" si="27"/>
        <v>109495.6819733945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2.0147205483104584</v>
      </c>
      <c r="T131">
        <f>IFERROR(VLOOKUP(A131,[1]Biogasudbytte!$A$2:$B$18,2,FALSE)*[1]Energiindhold!$C$10,0)*K131*IFERROR(VLOOKUP(A131,Biogasanlæg!$F$3:$G$8,2,FALSE),1)</f>
        <v>0</v>
      </c>
      <c r="U131" s="170">
        <f t="shared" si="28"/>
        <v>2.0147205483104584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45440.708018958721</v>
      </c>
      <c r="X131">
        <f>K131*IFERROR(VLOOKUP(A131,[1]Tørstofindhold!A$2:B$24,2,FALSE),0)</f>
        <v>0</v>
      </c>
      <c r="Y131" s="170">
        <f t="shared" si="29"/>
        <v>45440.708018958721</v>
      </c>
      <c r="Z131">
        <f t="shared" si="23"/>
        <v>0</v>
      </c>
      <c r="AA131">
        <f t="shared" si="24"/>
        <v>0</v>
      </c>
      <c r="AB131" s="94">
        <f t="shared" si="25"/>
        <v>109495.6819733945</v>
      </c>
      <c r="AC131">
        <f>AB131*D131*10000*VLOOKUP(A131,[1]kcal!$A$2:$C$49,3,FALSE)/1000000000000</f>
        <v>0</v>
      </c>
    </row>
    <row r="132" spans="1:29" x14ac:dyDescent="0.55000000000000004">
      <c r="A132" s="171" t="str">
        <f t="shared" ref="A132:A133" si="40">A84</f>
        <v>Pyrolysegas</v>
      </c>
      <c r="B132" s="171" t="str">
        <f t="shared" ref="B132:B133" si="41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9"/>
        <v>0</v>
      </c>
      <c r="E132" s="171">
        <f t="shared" si="38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 t="shared" ref="O132:O133" si="42">G132-SUM(H132:N132)</f>
        <v>0</v>
      </c>
      <c r="P132" s="94">
        <f t="shared" ref="P132:P195" si="43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 t="shared" ref="Q132:Q133" si="44"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ref="U132:U133" si="45"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ref="Y132:Y133" si="46">W132-X132</f>
        <v>0</v>
      </c>
      <c r="Z132">
        <f t="shared" ref="Z132:Z195" si="47">IF(SUMIFS($O$4:$O$291,$A$4:$A$291,A132,$E$4:$E$291,E132)&lt;0,1,0)</f>
        <v>0</v>
      </c>
      <c r="AA132">
        <f t="shared" ref="AA132:AA195" si="48">IF(SUMIFS($O$4:$O$291,$A$4:$A$291,A132,$E$4:$E$291,E132)&gt;0,1,0)</f>
        <v>0</v>
      </c>
      <c r="AB132" s="94">
        <f t="shared" si="25"/>
        <v>0</v>
      </c>
      <c r="AC132">
        <f>AB132*D132*10000*VLOOKUP(A132,[1]kcal!$A$2:$C$49,3,FALSE)/1000000000000</f>
        <v>0</v>
      </c>
    </row>
    <row r="133" spans="1:29" x14ac:dyDescent="0.55000000000000004">
      <c r="A133" s="171" t="str">
        <f t="shared" si="40"/>
        <v>Pyrolyseolie</v>
      </c>
      <c r="B133" s="171" t="str">
        <f t="shared" si="41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9"/>
        <v>0</v>
      </c>
      <c r="E133" s="171">
        <f t="shared" si="38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 t="shared" si="42"/>
        <v>0</v>
      </c>
      <c r="P133" s="94">
        <f t="shared" si="43"/>
        <v>0</v>
      </c>
      <c r="Q133" s="180">
        <f t="shared" si="44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45"/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46"/>
        <v>0</v>
      </c>
      <c r="Z133">
        <f t="shared" si="47"/>
        <v>0</v>
      </c>
      <c r="AA133">
        <f t="shared" si="48"/>
        <v>0</v>
      </c>
      <c r="AB133" s="94">
        <f t="shared" ref="AB133:AB196" si="49">G133-SUMPRODUCT($H$2:$N$2,H133:N133)</f>
        <v>0</v>
      </c>
      <c r="AC133">
        <f>AB133*D133*10000*VLOOKUP(A133,[1]kcal!$A$2:$C$49,3,FALSE)/1000000000000</f>
        <v>0</v>
      </c>
    </row>
    <row r="134" spans="1:29" x14ac:dyDescent="0.55000000000000004">
      <c r="A134" s="171" t="str">
        <f t="shared" ref="A134:A147" si="50">A86</f>
        <v>Råmælk</v>
      </c>
      <c r="B134" s="171" t="str">
        <f t="shared" ref="B134:B147" si="51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9"/>
        <v>0</v>
      </c>
      <c r="E134" s="171">
        <f t="shared" si="38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299784.31365557079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6"/>
        <v>299784.31365557079</v>
      </c>
      <c r="P134" s="94">
        <f t="shared" si="43"/>
        <v>0</v>
      </c>
      <c r="Q134" s="180">
        <f t="shared" si="27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8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9"/>
        <v>0</v>
      </c>
      <c r="Z134">
        <f t="shared" si="47"/>
        <v>0</v>
      </c>
      <c r="AA134">
        <f t="shared" si="48"/>
        <v>1</v>
      </c>
      <c r="AB134" s="94">
        <f t="shared" si="49"/>
        <v>299784.31365557079</v>
      </c>
      <c r="AC134">
        <f>AB134*D134*10000*VLOOKUP(A134,[1]kcal!$A$2:$C$49,3,FALSE)/1000000000000</f>
        <v>0</v>
      </c>
    </row>
    <row r="135" spans="1:29" x14ac:dyDescent="0.55000000000000004">
      <c r="A135" s="171" t="str">
        <f t="shared" si="50"/>
        <v>Raps</v>
      </c>
      <c r="B135" s="171" t="str">
        <f t="shared" si="51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9"/>
        <v>0</v>
      </c>
      <c r="E135" s="171">
        <f t="shared" si="38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996229.71876806754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996229.71876806754</v>
      </c>
      <c r="O135" s="179">
        <f t="shared" si="26"/>
        <v>0</v>
      </c>
      <c r="P135" s="94">
        <f t="shared" si="43"/>
        <v>0</v>
      </c>
      <c r="Q135" s="180">
        <f t="shared" si="27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8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9"/>
        <v>0</v>
      </c>
      <c r="Z135">
        <f t="shared" si="47"/>
        <v>0</v>
      </c>
      <c r="AA135">
        <f t="shared" si="48"/>
        <v>0</v>
      </c>
      <c r="AB135" s="94">
        <f t="shared" si="49"/>
        <v>996229.71876806754</v>
      </c>
      <c r="AC135">
        <f>AB135*D135*10000*VLOOKUP(A135,[1]kcal!$A$2:$C$49,3,FALSE)/1000000000000</f>
        <v>0</v>
      </c>
    </row>
    <row r="136" spans="1:29" x14ac:dyDescent="0.55000000000000004">
      <c r="A136" s="171" t="str">
        <f t="shared" si="50"/>
        <v>Rapskage</v>
      </c>
      <c r="B136" s="171" t="str">
        <f t="shared" si="51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9"/>
        <v>0</v>
      </c>
      <c r="E136" s="171">
        <f t="shared" si="38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498114.85938403377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18417.944885065255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6"/>
        <v>479696.91449896852</v>
      </c>
      <c r="P136" s="94">
        <f t="shared" si="43"/>
        <v>0</v>
      </c>
      <c r="Q136" s="180">
        <f t="shared" si="2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8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9"/>
        <v>0</v>
      </c>
      <c r="Z136">
        <f t="shared" si="47"/>
        <v>0</v>
      </c>
      <c r="AA136">
        <f t="shared" si="48"/>
        <v>1</v>
      </c>
      <c r="AB136" s="94">
        <f t="shared" si="49"/>
        <v>479696.91449896852</v>
      </c>
      <c r="AC136">
        <f>AB136*D136*10000*VLOOKUP(A136,[1]kcal!$A$2:$C$49,3,FALSE)/1000000000000</f>
        <v>0</v>
      </c>
    </row>
    <row r="137" spans="1:29" x14ac:dyDescent="0.55000000000000004">
      <c r="A137" s="171" t="str">
        <f t="shared" si="50"/>
        <v>Rapsolie</v>
      </c>
      <c r="B137" s="171" t="str">
        <f t="shared" si="51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9"/>
        <v>1</v>
      </c>
      <c r="E137" s="171">
        <f t="shared" si="38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318793.5100057816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318793.5100057816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6"/>
        <v>0</v>
      </c>
      <c r="P137" s="94">
        <f t="shared" si="43"/>
        <v>0</v>
      </c>
      <c r="Q137" s="180">
        <f t="shared" si="27"/>
        <v>318793.5100057816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11.157772850202354</v>
      </c>
      <c r="T137">
        <f>IFERROR(VLOOKUP(A137,[1]Biogasudbytte!$A$2:$B$18,2,FALSE)*[1]Energiindhold!$C$10,0)*K137*IFERROR(VLOOKUP(A137,Biogasanlæg!$F$3:$G$8,2,FALSE),1)</f>
        <v>0</v>
      </c>
      <c r="U137" s="170">
        <f t="shared" si="28"/>
        <v>11.157772850202354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9"/>
        <v>0</v>
      </c>
      <c r="Z137">
        <f t="shared" si="47"/>
        <v>0</v>
      </c>
      <c r="AA137">
        <f t="shared" si="48"/>
        <v>0</v>
      </c>
      <c r="AB137" s="94">
        <f t="shared" si="49"/>
        <v>318793.5100057816</v>
      </c>
      <c r="AC137">
        <f>AB137*D137*10000*VLOOKUP(A137,[1]kcal!$A$2:$C$49,3,FALSE)/1000000000000</f>
        <v>2.8691415900520347</v>
      </c>
    </row>
    <row r="138" spans="1:29" x14ac:dyDescent="0.55000000000000004">
      <c r="A138" s="171" t="str">
        <f t="shared" si="50"/>
        <v>Roer</v>
      </c>
      <c r="B138" s="171" t="str">
        <f t="shared" si="51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9"/>
        <v>1</v>
      </c>
      <c r="E138" s="171">
        <f t="shared" si="38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328.27548713856038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72361.716514963497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6"/>
        <v>-72033.441027824942</v>
      </c>
      <c r="P138" s="94">
        <f t="shared" si="43"/>
        <v>0</v>
      </c>
      <c r="Q138" s="180">
        <f t="shared" si="27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28"/>
        <v>0</v>
      </c>
      <c r="V138" s="169">
        <f>P138*IFERROR(VLOOKUP(A138,[1]Tørstofindhold!A$2:B$24,2,FALSE),0)</f>
        <v>0</v>
      </c>
      <c r="W138">
        <f>IF(E138=År1,Q138,SUM(P138,Q138))*IFERROR(VLOOKUP(A138,[1]Tørstofindhold!A$2:B$24,2,FALSE),0)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29"/>
        <v>0</v>
      </c>
      <c r="Z138">
        <f t="shared" si="47"/>
        <v>1</v>
      </c>
      <c r="AA138">
        <f t="shared" si="48"/>
        <v>0</v>
      </c>
      <c r="AB138" s="94">
        <f t="shared" si="49"/>
        <v>-72033.441027824942</v>
      </c>
      <c r="AC138">
        <f>AB138*D138*10000*VLOOKUP(A138,[1]kcal!$A$2:$C$49,3,FALSE)/1000000000000</f>
        <v>-2.1610032308347481E-2</v>
      </c>
    </row>
    <row r="139" spans="1:29" x14ac:dyDescent="0.55000000000000004">
      <c r="A139" s="171" t="str">
        <f t="shared" si="50"/>
        <v>Slagteriaffald til andet</v>
      </c>
      <c r="B139" s="171" t="str">
        <f t="shared" si="51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9"/>
        <v>0</v>
      </c>
      <c r="E139" s="171">
        <f t="shared" si="38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5271.9252933549069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6"/>
        <v>5271.9252933549069</v>
      </c>
      <c r="P139" s="94">
        <f t="shared" si="43"/>
        <v>0</v>
      </c>
      <c r="Q139" s="180">
        <f t="shared" si="2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8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9"/>
        <v>0</v>
      </c>
      <c r="Z139">
        <f t="shared" si="47"/>
        <v>0</v>
      </c>
      <c r="AA139">
        <f t="shared" si="48"/>
        <v>1</v>
      </c>
      <c r="AB139" s="94">
        <f t="shared" si="49"/>
        <v>5271.9252933549069</v>
      </c>
      <c r="AC139">
        <f>AB139*D139*10000*VLOOKUP(A139,[1]kcal!$A$2:$C$49,3,FALSE)/1000000000000</f>
        <v>0</v>
      </c>
    </row>
    <row r="140" spans="1:29" x14ac:dyDescent="0.55000000000000004">
      <c r="A140" s="171" t="str">
        <f t="shared" si="50"/>
        <v>Slagteriaffald til foder</v>
      </c>
      <c r="B140" s="171" t="str">
        <f t="shared" si="51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9"/>
        <v>0</v>
      </c>
      <c r="E140" s="171">
        <f t="shared" si="38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3160.1886401433912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3390.7513595936034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6"/>
        <v>-230.56271945021217</v>
      </c>
      <c r="P140" s="94">
        <f t="shared" si="43"/>
        <v>0</v>
      </c>
      <c r="Q140" s="180">
        <f t="shared" si="2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8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9"/>
        <v>0</v>
      </c>
      <c r="Z140">
        <f t="shared" si="47"/>
        <v>1</v>
      </c>
      <c r="AA140">
        <f t="shared" si="48"/>
        <v>0</v>
      </c>
      <c r="AB140" s="94">
        <f t="shared" si="49"/>
        <v>-230.56271945021217</v>
      </c>
      <c r="AC140">
        <f>AB140*D140*10000*VLOOKUP(A140,[1]kcal!$A$2:$C$49,3,FALSE)/1000000000000</f>
        <v>0</v>
      </c>
    </row>
    <row r="141" spans="1:29" x14ac:dyDescent="0.55000000000000004">
      <c r="A141" s="171" t="str">
        <f t="shared" si="50"/>
        <v>Spildevandsslam</v>
      </c>
      <c r="B141" s="171" t="str">
        <f t="shared" si="51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9"/>
        <v>0</v>
      </c>
      <c r="E141" s="171">
        <f t="shared" si="38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4009828.1565030687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3608845.3408527621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6"/>
        <v>400982.81565030664</v>
      </c>
      <c r="P141" s="94">
        <f t="shared" si="43"/>
        <v>400982.81565030664</v>
      </c>
      <c r="Q141" s="180">
        <f t="shared" si="27"/>
        <v>3608845.3408527621</v>
      </c>
      <c r="R141">
        <f>IFERROR(VLOOKUP(A141,[1]Energiindhold!$A$2:$C$11,3,FALSE),IFERROR(VLOOKUP(A141,[1]Biogasudbytte!$A$2:$B$18,2,FALSE)*[1]Energiindhold!$C$10,0))*P141</f>
        <v>0.20009443483765954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2.0009443483765965</v>
      </c>
      <c r="T141">
        <f>IFERROR(VLOOKUP(A141,[1]Biogasudbytte!$A$2:$B$18,2,FALSE)*[1]Energiindhold!$C$10,0)*K141*IFERROR(VLOOKUP(A141,Biogasanlæg!$F$3:$G$8,2,FALSE),1)</f>
        <v>1.8008499135389371</v>
      </c>
      <c r="U141" s="170">
        <f t="shared" si="28"/>
        <v>0.20009443483765943</v>
      </c>
      <c r="V141" s="169">
        <f>P141*IFERROR(VLOOKUP(A141,[1]Tørstofindhold!A$2:B$24,2,FALSE),0)</f>
        <v>24058.968939018399</v>
      </c>
      <c r="W141">
        <f>IF(E141=År1,Q141,SUM(P141,Q141))*IFERROR(VLOOKUP(A141,[1]Tørstofindhold!A$2:B$24,2,FALSE),0)</f>
        <v>240589.68939018412</v>
      </c>
      <c r="X141">
        <f>K141*IFERROR(VLOOKUP(A141,[1]Tørstofindhold!A$2:B$24,2,FALSE),0)</f>
        <v>216530.72045116572</v>
      </c>
      <c r="Y141" s="170">
        <f t="shared" si="29"/>
        <v>24058.968939018407</v>
      </c>
      <c r="Z141">
        <f t="shared" si="47"/>
        <v>0</v>
      </c>
      <c r="AA141">
        <f t="shared" si="48"/>
        <v>1</v>
      </c>
      <c r="AB141" s="94">
        <f t="shared" si="49"/>
        <v>400982.81565030664</v>
      </c>
      <c r="AC141">
        <f>AB141*D141*10000*VLOOKUP(A141,[1]kcal!$A$2:$C$49,3,FALSE)/1000000000000</f>
        <v>0</v>
      </c>
    </row>
    <row r="142" spans="1:29" x14ac:dyDescent="0.55000000000000004">
      <c r="A142" s="171" t="str">
        <f t="shared" si="50"/>
        <v>Svinegylle</v>
      </c>
      <c r="B142" s="171" t="str">
        <f t="shared" si="51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9"/>
        <v>0</v>
      </c>
      <c r="E142" s="171">
        <f t="shared" si="38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0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0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0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6"/>
        <v>0</v>
      </c>
      <c r="P142" s="94">
        <f t="shared" si="43"/>
        <v>0</v>
      </c>
      <c r="Q142" s="180">
        <f t="shared" si="27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28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29"/>
        <v>0</v>
      </c>
      <c r="Z142">
        <f t="shared" si="47"/>
        <v>0</v>
      </c>
      <c r="AA142">
        <f t="shared" si="48"/>
        <v>0</v>
      </c>
      <c r="AB142" s="94">
        <f t="shared" si="49"/>
        <v>0</v>
      </c>
      <c r="AC142">
        <f>AB142*D142*10000*VLOOKUP(A142,[1]kcal!$A$2:$C$49,3,FALSE)/1000000000000</f>
        <v>0</v>
      </c>
    </row>
    <row r="143" spans="1:29" x14ac:dyDescent="0.55000000000000004">
      <c r="A143" s="171" t="str">
        <f t="shared" si="50"/>
        <v>Svinekød</v>
      </c>
      <c r="B143" s="171" t="str">
        <f t="shared" si="51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9"/>
        <v>1</v>
      </c>
      <c r="E143" s="171">
        <f t="shared" si="38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32835.498607746944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6"/>
        <v>-93791.593334962032</v>
      </c>
      <c r="P143" s="94">
        <f t="shared" si="43"/>
        <v>0</v>
      </c>
      <c r="Q143" s="180">
        <f t="shared" si="2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8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9"/>
        <v>0</v>
      </c>
      <c r="Z143">
        <f t="shared" si="47"/>
        <v>1</v>
      </c>
      <c r="AA143">
        <f t="shared" si="48"/>
        <v>0</v>
      </c>
      <c r="AB143" s="94">
        <f t="shared" si="49"/>
        <v>32835.498607746944</v>
      </c>
      <c r="AC143">
        <f>AB143*D143*10000*VLOOKUP(A143,[1]kcal!$A$2:$C$49,3,FALSE)/1000000000000</f>
        <v>6.4029222285106546E-2</v>
      </c>
    </row>
    <row r="144" spans="1:29" x14ac:dyDescent="0.55000000000000004">
      <c r="A144" s="171" t="str">
        <f t="shared" si="50"/>
        <v>Tang</v>
      </c>
      <c r="B144" s="171" t="str">
        <f t="shared" si="51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9"/>
        <v>1</v>
      </c>
      <c r="E144" s="171">
        <f t="shared" si="38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6"/>
        <v>382.5</v>
      </c>
      <c r="P144" s="94">
        <f t="shared" si="43"/>
        <v>382.5</v>
      </c>
      <c r="Q144" s="180">
        <f t="shared" si="27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28"/>
        <v>3.4329375000000003E-4</v>
      </c>
      <c r="V144" s="169">
        <f>P144*IFERROR(VLOOKUP(A144,[1]Tørstofindhold!A$2:B$24,2,FALSE),0)</f>
        <v>57.375</v>
      </c>
      <c r="W144">
        <f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29"/>
        <v>57.375</v>
      </c>
      <c r="Z144">
        <f t="shared" si="47"/>
        <v>0</v>
      </c>
      <c r="AA144">
        <f t="shared" si="48"/>
        <v>1</v>
      </c>
      <c r="AB144" s="94">
        <f t="shared" si="49"/>
        <v>382.5</v>
      </c>
      <c r="AC144">
        <f>AB144*D144*10000*VLOOKUP(A144,[1]kcal!$A$2:$C$49,3,FALSE)/1000000000000</f>
        <v>1.5605999999999999E-4</v>
      </c>
    </row>
    <row r="145" spans="1:29" x14ac:dyDescent="0.55000000000000004">
      <c r="A145" s="171" t="str">
        <f t="shared" si="50"/>
        <v>Total til biogas</v>
      </c>
      <c r="B145" s="171" t="str">
        <f t="shared" si="51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9"/>
        <v>0</v>
      </c>
      <c r="E145" s="171">
        <f t="shared" si="38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6"/>
        <v>0</v>
      </c>
      <c r="P145" s="94">
        <f t="shared" si="43"/>
        <v>0</v>
      </c>
      <c r="Q145" s="180">
        <f t="shared" si="2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8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9"/>
        <v>0</v>
      </c>
      <c r="Z145">
        <f t="shared" si="47"/>
        <v>0</v>
      </c>
      <c r="AA145">
        <f t="shared" si="48"/>
        <v>0</v>
      </c>
      <c r="AB145" s="94">
        <f t="shared" si="49"/>
        <v>0</v>
      </c>
      <c r="AC145">
        <f>AB145*D145*10000*VLOOKUP(A145,[1]kcal!$A$2:$C$49,3,FALSE)/1000000000000</f>
        <v>0</v>
      </c>
    </row>
    <row r="146" spans="1:29" x14ac:dyDescent="0.55000000000000004">
      <c r="A146" s="171" t="str">
        <f t="shared" si="50"/>
        <v>Træ til energi</v>
      </c>
      <c r="B146" s="171" t="str">
        <f t="shared" si="51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9"/>
        <v>0</v>
      </c>
      <c r="E146" s="171">
        <f t="shared" si="38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2312878.2492368715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2312878.2492368715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6"/>
        <v>0</v>
      </c>
      <c r="P146" s="94">
        <f t="shared" ca="1" si="43"/>
        <v>0</v>
      </c>
      <c r="Q146" s="180">
        <f t="shared" ca="1" si="27"/>
        <v>2312878.2492368715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33.521860264419189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8"/>
        <v>33.521860264419189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1143911.034101736</v>
      </c>
      <c r="X146">
        <f>K146*IFERROR(VLOOKUP(A146,[1]Tørstofindhold!A$2:B$24,2,FALSE),0)</f>
        <v>0</v>
      </c>
      <c r="Y146" s="170">
        <f t="shared" ca="1" si="29"/>
        <v>1143911.034101736</v>
      </c>
      <c r="Z146">
        <f t="shared" ca="1" si="47"/>
        <v>0</v>
      </c>
      <c r="AA146">
        <f t="shared" ca="1" si="48"/>
        <v>0</v>
      </c>
      <c r="AB146" s="94">
        <f t="shared" ca="1" si="49"/>
        <v>2312878.2492368715</v>
      </c>
      <c r="AC146">
        <f ca="1">AB146*D146*10000*VLOOKUP(A146,[1]kcal!$A$2:$C$49,3,FALSE)/1000000000000</f>
        <v>0</v>
      </c>
    </row>
    <row r="147" spans="1:29" x14ac:dyDescent="0.55000000000000004">
      <c r="A147" s="171" t="str">
        <f t="shared" si="50"/>
        <v>Træmaterialer</v>
      </c>
      <c r="B147" s="171" t="str">
        <f t="shared" si="51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9"/>
        <v>0</v>
      </c>
      <c r="E147" s="171">
        <f t="shared" si="38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676235.95848651009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676235.95848651009</v>
      </c>
      <c r="O147" s="179">
        <f t="shared" ca="1" si="26"/>
        <v>0</v>
      </c>
      <c r="P147" s="94">
        <f t="shared" si="43"/>
        <v>0</v>
      </c>
      <c r="Q147" s="180">
        <f t="shared" si="2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8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9"/>
        <v>0</v>
      </c>
      <c r="Z147">
        <f t="shared" ca="1" si="47"/>
        <v>0</v>
      </c>
      <c r="AA147">
        <f t="shared" ca="1" si="48"/>
        <v>0</v>
      </c>
      <c r="AB147" s="94">
        <f t="shared" ca="1" si="49"/>
        <v>676235.95848651009</v>
      </c>
      <c r="AC147">
        <f ca="1">AB147*D147*10000*VLOOKUP(A147,[1]kcal!$A$2:$C$49,3,FALSE)/1000000000000</f>
        <v>0</v>
      </c>
    </row>
    <row r="148" spans="1:29" x14ac:dyDescent="0.55000000000000004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9"/>
        <v>1</v>
      </c>
      <c r="E148" s="171">
        <f t="shared" ref="E148:E195" si="52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6"/>
        <v>-8430.5352358472264</v>
      </c>
      <c r="P148" s="94">
        <f t="shared" si="43"/>
        <v>0</v>
      </c>
      <c r="Q148" s="180">
        <f t="shared" si="27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8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9"/>
        <v>0</v>
      </c>
      <c r="Z148">
        <f t="shared" si="47"/>
        <v>0</v>
      </c>
      <c r="AA148">
        <f t="shared" si="48"/>
        <v>1</v>
      </c>
      <c r="AB148" s="94">
        <f t="shared" si="49"/>
        <v>18450.007031483605</v>
      </c>
      <c r="AC148">
        <f>AB148*D148*10000*VLOOKUP(A148,[1]kcal!$A$2:$C$49,3,FALSE)/1000000000000</f>
        <v>2.5461009703447376E-2</v>
      </c>
    </row>
    <row r="149" spans="1:29" x14ac:dyDescent="0.55000000000000004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9"/>
        <v>1</v>
      </c>
      <c r="E149" s="171">
        <f t="shared" si="52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6"/>
        <v>19055.87878491775</v>
      </c>
      <c r="P149" s="94">
        <f t="shared" si="43"/>
        <v>0</v>
      </c>
      <c r="Q149" s="180">
        <f t="shared" si="27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8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9"/>
        <v>0</v>
      </c>
      <c r="Z149">
        <f t="shared" si="47"/>
        <v>0</v>
      </c>
      <c r="AA149">
        <f t="shared" si="48"/>
        <v>1</v>
      </c>
      <c r="AB149" s="94">
        <f t="shared" si="49"/>
        <v>19055.87878491775</v>
      </c>
      <c r="AC149">
        <f>AB149*D149*10000*VLOOKUP(A149,[1]kcal!$A$2:$C$49,3,FALSE)/1000000000000</f>
        <v>0.13234307816125379</v>
      </c>
    </row>
    <row r="150" spans="1:29" x14ac:dyDescent="0.55000000000000004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9"/>
        <v>0</v>
      </c>
      <c r="E150" s="171">
        <f t="shared" si="52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6"/>
        <v>-170507.33327986751</v>
      </c>
      <c r="P150" s="94">
        <f t="shared" ca="1" si="43"/>
        <v>0</v>
      </c>
      <c r="Q150" s="180">
        <f t="shared" ca="1" si="27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8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9"/>
        <v>0</v>
      </c>
      <c r="Z150">
        <f t="shared" ca="1" si="47"/>
        <v>1</v>
      </c>
      <c r="AA150">
        <f t="shared" ca="1" si="48"/>
        <v>0</v>
      </c>
      <c r="AB150" s="94">
        <f t="shared" ca="1" si="49"/>
        <v>-170507.33327986751</v>
      </c>
      <c r="AC150">
        <f ca="1">AB150*D150*10000*VLOOKUP(A150,[1]kcal!$A$2:$C$49,3,FALSE)/1000000000000</f>
        <v>0</v>
      </c>
    </row>
    <row r="151" spans="1:29" x14ac:dyDescent="0.55000000000000004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9"/>
        <v>0</v>
      </c>
      <c r="E151" s="171">
        <f t="shared" si="52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53">G151-SUM(H151:N151)</f>
        <v>0</v>
      </c>
      <c r="P151" s="94">
        <f t="shared" ca="1" si="43"/>
        <v>0</v>
      </c>
      <c r="Q151" s="180">
        <f t="shared" ref="Q151:Q216" ca="1" si="54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5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56">W151-X151</f>
        <v>0</v>
      </c>
      <c r="Z151">
        <f t="shared" ca="1" si="47"/>
        <v>0</v>
      </c>
      <c r="AA151">
        <f t="shared" ca="1" si="48"/>
        <v>0</v>
      </c>
      <c r="AB151" s="94">
        <f t="shared" ca="1" si="49"/>
        <v>110817068.59908372</v>
      </c>
      <c r="AC151">
        <f ca="1">AB151*D151*10000*VLOOKUP(A151,[1]kcal!$A$2:$C$49,3,FALSE)/1000000000000</f>
        <v>0</v>
      </c>
    </row>
    <row r="152" spans="1:29" x14ac:dyDescent="0.55000000000000004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9"/>
        <v>0</v>
      </c>
      <c r="E152" s="171">
        <f t="shared" si="52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53"/>
        <v>661211.27137287101</v>
      </c>
      <c r="P152" s="94">
        <f t="shared" si="43"/>
        <v>0</v>
      </c>
      <c r="Q152" s="180">
        <f t="shared" si="54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5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6"/>
        <v>0</v>
      </c>
      <c r="Z152">
        <f t="shared" ca="1" si="47"/>
        <v>0</v>
      </c>
      <c r="AA152">
        <f t="shared" ca="1" si="48"/>
        <v>1</v>
      </c>
      <c r="AB152" s="94">
        <f t="shared" ca="1" si="49"/>
        <v>661211.27137287101</v>
      </c>
      <c r="AC152">
        <f ca="1">AB152*D152*10000*VLOOKUP(A152,[1]kcal!$A$2:$C$49,3,FALSE)/1000000000000</f>
        <v>0</v>
      </c>
    </row>
    <row r="153" spans="1:29" x14ac:dyDescent="0.55000000000000004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9"/>
        <v>0</v>
      </c>
      <c r="E153" s="171">
        <f t="shared" si="52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53"/>
        <v>0</v>
      </c>
      <c r="P153" s="94">
        <f t="shared" si="43"/>
        <v>0</v>
      </c>
      <c r="Q153" s="180">
        <f t="shared" si="54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55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56"/>
        <v>0</v>
      </c>
      <c r="Z153">
        <f t="shared" si="47"/>
        <v>0</v>
      </c>
      <c r="AA153">
        <f t="shared" si="48"/>
        <v>0</v>
      </c>
      <c r="AB153" s="94">
        <f t="shared" si="49"/>
        <v>0</v>
      </c>
      <c r="AC153">
        <f>AB153*D153*10000*VLOOKUP(A153,[1]kcal!$A$2:$C$49,3,FALSE)/1000000000000</f>
        <v>0</v>
      </c>
    </row>
    <row r="154" spans="1:29" x14ac:dyDescent="0.55000000000000004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9"/>
        <v>0</v>
      </c>
      <c r="E154" s="171">
        <f t="shared" si="52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53"/>
        <v>153410.57659836096</v>
      </c>
      <c r="P154" s="94">
        <f t="shared" si="43"/>
        <v>153410.57659836096</v>
      </c>
      <c r="Q154" s="180">
        <f t="shared" si="54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55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56"/>
        <v>0</v>
      </c>
      <c r="Z154">
        <f t="shared" si="47"/>
        <v>0</v>
      </c>
      <c r="AA154">
        <f t="shared" si="48"/>
        <v>1</v>
      </c>
      <c r="AB154" s="94">
        <f t="shared" si="49"/>
        <v>153410.57659836096</v>
      </c>
      <c r="AC154">
        <f>AB154*D154*10000*VLOOKUP(A154,[1]kcal!$A$2:$C$49,3,FALSE)/1000000000000</f>
        <v>0</v>
      </c>
    </row>
    <row r="155" spans="1:29" x14ac:dyDescent="0.55000000000000004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9"/>
        <v>0</v>
      </c>
      <c r="E155" s="171">
        <f t="shared" si="52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53"/>
        <v>0</v>
      </c>
      <c r="P155" s="94">
        <f t="shared" si="43"/>
        <v>0</v>
      </c>
      <c r="Q155" s="180">
        <f t="shared" si="54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5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6"/>
        <v>0</v>
      </c>
      <c r="Z155">
        <f t="shared" si="47"/>
        <v>0</v>
      </c>
      <c r="AA155">
        <f t="shared" si="48"/>
        <v>0</v>
      </c>
      <c r="AB155" s="94">
        <f t="shared" si="49"/>
        <v>0</v>
      </c>
      <c r="AC155">
        <f>AB155*D155*10000*VLOOKUP(A155,[1]kcal!$A$2:$C$49,3,FALSE)/1000000000000</f>
        <v>0</v>
      </c>
    </row>
    <row r="156" spans="1:29" x14ac:dyDescent="0.55000000000000004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9"/>
        <v>0</v>
      </c>
      <c r="E156" s="171">
        <f t="shared" si="52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53"/>
        <v>0</v>
      </c>
      <c r="P156" s="94">
        <f t="shared" si="43"/>
        <v>0</v>
      </c>
      <c r="Q156" s="180">
        <f t="shared" si="54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55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56"/>
        <v>0</v>
      </c>
      <c r="Z156">
        <f t="shared" si="47"/>
        <v>0</v>
      </c>
      <c r="AA156">
        <f t="shared" si="48"/>
        <v>0</v>
      </c>
      <c r="AB156" s="94">
        <f t="shared" si="49"/>
        <v>0</v>
      </c>
      <c r="AC156">
        <f>AB156*D156*10000*VLOOKUP(A156,[1]kcal!$A$2:$C$49,3,FALSE)/1000000000000</f>
        <v>0</v>
      </c>
    </row>
    <row r="157" spans="1:29" x14ac:dyDescent="0.55000000000000004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9"/>
        <v>1</v>
      </c>
      <c r="E157" s="171">
        <f t="shared" si="52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53"/>
        <v>-13151.581373695415</v>
      </c>
      <c r="P157" s="94">
        <f t="shared" si="43"/>
        <v>0</v>
      </c>
      <c r="Q157" s="180">
        <f t="shared" si="54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5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6"/>
        <v>0</v>
      </c>
      <c r="Z157">
        <f t="shared" si="47"/>
        <v>0</v>
      </c>
      <c r="AA157">
        <f t="shared" si="48"/>
        <v>1</v>
      </c>
      <c r="AB157" s="94">
        <f t="shared" si="49"/>
        <v>15969.006082579654</v>
      </c>
      <c r="AC157">
        <f>AB157*D157*10000*VLOOKUP(A157,[1]kcal!$A$2:$C$49,3,FALSE)/1000000000000</f>
        <v>2.4272889245521075E-2</v>
      </c>
    </row>
    <row r="158" spans="1:29" x14ac:dyDescent="0.55000000000000004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9"/>
        <v>0</v>
      </c>
      <c r="E158" s="171">
        <f t="shared" si="52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3"/>
        <v>620445.82725004398</v>
      </c>
      <c r="P158" s="94">
        <f t="shared" si="43"/>
        <v>0</v>
      </c>
      <c r="Q158" s="180">
        <f t="shared" si="54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5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6"/>
        <v>0</v>
      </c>
      <c r="Z158">
        <f t="shared" si="47"/>
        <v>0</v>
      </c>
      <c r="AA158">
        <f t="shared" si="48"/>
        <v>1</v>
      </c>
      <c r="AB158" s="94">
        <f t="shared" si="49"/>
        <v>620445.82725004398</v>
      </c>
      <c r="AC158">
        <f>AB158*D158*10000*VLOOKUP(A158,[1]kcal!$A$2:$C$49,3,FALSE)/1000000000000</f>
        <v>0</v>
      </c>
    </row>
    <row r="159" spans="1:29" x14ac:dyDescent="0.55000000000000004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9"/>
        <v>1</v>
      </c>
      <c r="E159" s="171">
        <f t="shared" si="52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3"/>
        <v>-197024.06677216437</v>
      </c>
      <c r="P159" s="94">
        <f t="shared" si="43"/>
        <v>0</v>
      </c>
      <c r="Q159" s="180">
        <f t="shared" si="54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5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6"/>
        <v>0</v>
      </c>
      <c r="Z159">
        <f t="shared" si="47"/>
        <v>1</v>
      </c>
      <c r="AA159">
        <f t="shared" si="48"/>
        <v>0</v>
      </c>
      <c r="AB159" s="94">
        <f t="shared" si="49"/>
        <v>15780.226177538038</v>
      </c>
      <c r="AC159">
        <f>AB159*D159*10000*VLOOKUP(A159,[1]kcal!$A$2:$C$49,3,FALSE)/1000000000000</f>
        <v>8.2057176123197795E-3</v>
      </c>
    </row>
    <row r="160" spans="1:29" x14ac:dyDescent="0.55000000000000004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9"/>
        <v>0</v>
      </c>
      <c r="E160" s="171">
        <f t="shared" si="52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3"/>
        <v>-28548.400000000001</v>
      </c>
      <c r="P160" s="94">
        <f t="shared" si="43"/>
        <v>0</v>
      </c>
      <c r="Q160" s="180">
        <f t="shared" si="54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5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6"/>
        <v>0</v>
      </c>
      <c r="Z160">
        <f t="shared" si="47"/>
        <v>1</v>
      </c>
      <c r="AA160">
        <f t="shared" si="48"/>
        <v>0</v>
      </c>
      <c r="AB160" s="94">
        <f t="shared" si="49"/>
        <v>-28548.400000000001</v>
      </c>
      <c r="AC160">
        <f>AB160*D160*10000*VLOOKUP(A160,[1]kcal!$A$2:$C$49,3,FALSE)/1000000000000</f>
        <v>0</v>
      </c>
    </row>
    <row r="161" spans="1:29" x14ac:dyDescent="0.55000000000000004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9"/>
        <v>0</v>
      </c>
      <c r="E161" s="171">
        <f t="shared" si="52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53"/>
        <v>636502.29333281773</v>
      </c>
      <c r="P161" s="94">
        <f t="shared" si="43"/>
        <v>636502.29333281773</v>
      </c>
      <c r="Q161" s="180">
        <f t="shared" si="54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5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6"/>
        <v>0</v>
      </c>
      <c r="Z161">
        <f t="shared" si="47"/>
        <v>0</v>
      </c>
      <c r="AA161">
        <f t="shared" si="48"/>
        <v>1</v>
      </c>
      <c r="AB161" s="94">
        <f t="shared" si="49"/>
        <v>636502.29333281773</v>
      </c>
      <c r="AC161">
        <f>AB161*D161*10000*VLOOKUP(A161,[1]kcal!$A$2:$C$49,3,FALSE)/1000000000000</f>
        <v>0</v>
      </c>
    </row>
    <row r="162" spans="1:29" x14ac:dyDescent="0.55000000000000004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9"/>
        <v>0</v>
      </c>
      <c r="E162" s="171">
        <f t="shared" si="52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53"/>
        <v>0</v>
      </c>
      <c r="P162" s="94">
        <f t="shared" si="43"/>
        <v>0</v>
      </c>
      <c r="Q162" s="180">
        <f t="shared" si="54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5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6"/>
        <v>0</v>
      </c>
      <c r="Z162">
        <f t="shared" si="47"/>
        <v>0</v>
      </c>
      <c r="AA162">
        <f t="shared" si="48"/>
        <v>0</v>
      </c>
      <c r="AB162" s="94">
        <f t="shared" si="49"/>
        <v>0</v>
      </c>
      <c r="AC162">
        <f>AB162*D162*10000*VLOOKUP(A162,[1]kcal!$A$2:$C$49,3,FALSE)/1000000000000</f>
        <v>0</v>
      </c>
    </row>
    <row r="163" spans="1:29" x14ac:dyDescent="0.55000000000000004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9"/>
        <v>1</v>
      </c>
      <c r="E163" s="171">
        <f t="shared" si="52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3"/>
        <v>-127585.02725608747</v>
      </c>
      <c r="P163" s="94">
        <f t="shared" si="43"/>
        <v>0</v>
      </c>
      <c r="Q163" s="180">
        <f t="shared" si="54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5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6"/>
        <v>0</v>
      </c>
      <c r="Z163">
        <f t="shared" si="47"/>
        <v>1</v>
      </c>
      <c r="AA163">
        <f t="shared" si="48"/>
        <v>0</v>
      </c>
      <c r="AB163" s="94">
        <f t="shared" si="49"/>
        <v>95299.46904386401</v>
      </c>
      <c r="AC163">
        <f>AB163*D163*10000*VLOOKUP(A163,[1]kcal!$A$2:$C$49,3,FALSE)/1000000000000</f>
        <v>3.7166792927106965E-2</v>
      </c>
    </row>
    <row r="164" spans="1:29" x14ac:dyDescent="0.55000000000000004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9"/>
        <v>0</v>
      </c>
      <c r="E164" s="171">
        <f t="shared" si="52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53"/>
        <v>0</v>
      </c>
      <c r="P164" s="94">
        <f t="shared" si="43"/>
        <v>0</v>
      </c>
      <c r="Q164" s="180">
        <f t="shared" si="54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55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56"/>
        <v>622757.24997763557</v>
      </c>
      <c r="Z164">
        <f t="shared" si="47"/>
        <v>0</v>
      </c>
      <c r="AA164">
        <f t="shared" si="48"/>
        <v>0</v>
      </c>
      <c r="AB164" s="94">
        <f t="shared" si="49"/>
        <v>732655.58820898295</v>
      </c>
      <c r="AC164">
        <f>AB164*D164*10000*VLOOKUP(A164,[1]kcal!$A$2:$C$49,3,FALSE)/1000000000000</f>
        <v>0</v>
      </c>
    </row>
    <row r="165" spans="1:29" x14ac:dyDescent="0.55000000000000004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9"/>
        <v>0</v>
      </c>
      <c r="E165" s="171">
        <f t="shared" si="52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3"/>
        <v>0</v>
      </c>
      <c r="P165" s="94">
        <f t="shared" si="43"/>
        <v>0</v>
      </c>
      <c r="Q165" s="180">
        <f t="shared" si="54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5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6"/>
        <v>135693.18364487163</v>
      </c>
      <c r="Z165">
        <f t="shared" si="47"/>
        <v>0</v>
      </c>
      <c r="AA165">
        <f t="shared" si="48"/>
        <v>0</v>
      </c>
      <c r="AB165" s="94">
        <f t="shared" si="49"/>
        <v>452310.61214957217</v>
      </c>
      <c r="AC165">
        <f>AB165*D165*10000*VLOOKUP(A165,[1]kcal!$A$2:$C$49,3,FALSE)/1000000000000</f>
        <v>0</v>
      </c>
    </row>
    <row r="166" spans="1:29" x14ac:dyDescent="0.55000000000000004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9"/>
        <v>1</v>
      </c>
      <c r="E166" s="171">
        <f t="shared" si="52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53"/>
        <v>-592646.72642582108</v>
      </c>
      <c r="P166" s="94">
        <f t="shared" si="43"/>
        <v>0</v>
      </c>
      <c r="Q166" s="180">
        <f t="shared" si="54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5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6"/>
        <v>0</v>
      </c>
      <c r="Z166">
        <f t="shared" si="47"/>
        <v>1</v>
      </c>
      <c r="AA166">
        <f t="shared" si="48"/>
        <v>0</v>
      </c>
      <c r="AB166" s="94">
        <f t="shared" si="49"/>
        <v>-592646.72642582108</v>
      </c>
      <c r="AC166">
        <f>AB166*D166*10000*VLOOKUP(A166,[1]kcal!$A$2:$C$49,3,FALSE)/1000000000000</f>
        <v>-0.33780863406271799</v>
      </c>
    </row>
    <row r="167" spans="1:29" x14ac:dyDescent="0.55000000000000004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9"/>
        <v>0</v>
      </c>
      <c r="E167" s="171">
        <f t="shared" si="52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53"/>
        <v>-79270.498677373223</v>
      </c>
      <c r="P167" s="94">
        <f t="shared" si="43"/>
        <v>0</v>
      </c>
      <c r="Q167" s="180">
        <f t="shared" si="54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55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56"/>
        <v>0</v>
      </c>
      <c r="Z167">
        <f t="shared" si="47"/>
        <v>1</v>
      </c>
      <c r="AA167">
        <f t="shared" si="48"/>
        <v>0</v>
      </c>
      <c r="AB167" s="94">
        <f t="shared" si="49"/>
        <v>-79270.498677373223</v>
      </c>
      <c r="AC167">
        <f>AB167*D167*10000*VLOOKUP(A167,[1]kcal!$A$2:$C$49,3,FALSE)/1000000000000</f>
        <v>0</v>
      </c>
    </row>
    <row r="168" spans="1:29" x14ac:dyDescent="0.55000000000000004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9"/>
        <v>0</v>
      </c>
      <c r="E168" s="171">
        <f t="shared" si="52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3"/>
        <v>145627.35347864506</v>
      </c>
      <c r="P168" s="94">
        <f t="shared" si="43"/>
        <v>0</v>
      </c>
      <c r="Q168" s="180">
        <f t="shared" si="54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5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6"/>
        <v>0</v>
      </c>
      <c r="Z168">
        <f t="shared" si="47"/>
        <v>0</v>
      </c>
      <c r="AA168">
        <f t="shared" si="48"/>
        <v>1</v>
      </c>
      <c r="AB168" s="94">
        <f t="shared" si="49"/>
        <v>145627.35347864506</v>
      </c>
      <c r="AC168">
        <f>AB168*D168*10000*VLOOKUP(A168,[1]kcal!$A$2:$C$49,3,FALSE)/1000000000000</f>
        <v>0</v>
      </c>
    </row>
    <row r="169" spans="1:29" x14ac:dyDescent="0.55000000000000004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9"/>
        <v>1</v>
      </c>
      <c r="E169" s="171">
        <f t="shared" si="52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53"/>
        <v>14617.738147146345</v>
      </c>
      <c r="P169" s="94">
        <f t="shared" si="43"/>
        <v>0</v>
      </c>
      <c r="Q169" s="180">
        <f t="shared" si="54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5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6"/>
        <v>0</v>
      </c>
      <c r="Z169">
        <f t="shared" si="47"/>
        <v>0</v>
      </c>
      <c r="AA169">
        <f t="shared" si="48"/>
        <v>1</v>
      </c>
      <c r="AB169" s="94">
        <f t="shared" si="49"/>
        <v>116539.79424410909</v>
      </c>
      <c r="AC169">
        <f>AB169*D169*10000*VLOOKUP(A169,[1]kcal!$A$2:$C$49,3,FALSE)/1000000000000</f>
        <v>9.0901039510405096E-2</v>
      </c>
    </row>
    <row r="170" spans="1:29" x14ac:dyDescent="0.55000000000000004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9"/>
        <v>1</v>
      </c>
      <c r="E170" s="171">
        <f t="shared" si="52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53"/>
        <v>1301921.4452316216</v>
      </c>
      <c r="P170" s="94">
        <f t="shared" si="43"/>
        <v>1301921.4452316216</v>
      </c>
      <c r="Q170" s="180">
        <f t="shared" si="54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5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6"/>
        <v>0</v>
      </c>
      <c r="Z170">
        <f t="shared" si="47"/>
        <v>0</v>
      </c>
      <c r="AA170">
        <f t="shared" si="48"/>
        <v>1</v>
      </c>
      <c r="AB170" s="94">
        <f t="shared" si="49"/>
        <v>1546086.3708265433</v>
      </c>
      <c r="AC170">
        <f>AB170*D170*10000*VLOOKUP(A170,[1]kcal!$A$2:$C$49,3,FALSE)/1000000000000</f>
        <v>5.6586761172251485</v>
      </c>
    </row>
    <row r="171" spans="1:29" x14ac:dyDescent="0.55000000000000004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9"/>
        <v>0</v>
      </c>
      <c r="E171" s="171">
        <f t="shared" si="52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53"/>
        <v>-374820.3560243976</v>
      </c>
      <c r="P171" s="94">
        <f t="shared" si="43"/>
        <v>0</v>
      </c>
      <c r="Q171" s="180">
        <f t="shared" si="54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5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6"/>
        <v>0</v>
      </c>
      <c r="Z171">
        <f t="shared" ca="1" si="47"/>
        <v>1</v>
      </c>
      <c r="AA171">
        <f t="shared" ca="1" si="48"/>
        <v>0</v>
      </c>
      <c r="AB171" s="94">
        <f t="shared" ca="1" si="49"/>
        <v>-374820.3560243976</v>
      </c>
      <c r="AC171">
        <f ca="1">AB171*D171*10000*VLOOKUP(A171,[1]kcal!$A$2:$C$49,3,FALSE)/1000000000000</f>
        <v>0</v>
      </c>
    </row>
    <row r="172" spans="1:29" x14ac:dyDescent="0.55000000000000004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9"/>
        <v>0</v>
      </c>
      <c r="E172" s="171">
        <f t="shared" si="52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53"/>
        <v>0</v>
      </c>
      <c r="P172" s="94">
        <f t="shared" si="43"/>
        <v>0</v>
      </c>
      <c r="Q172" s="180">
        <f t="shared" si="54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55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56"/>
        <v>0</v>
      </c>
      <c r="Z172">
        <f t="shared" si="47"/>
        <v>0</v>
      </c>
      <c r="AA172">
        <f t="shared" si="48"/>
        <v>0</v>
      </c>
      <c r="AB172" s="94">
        <f t="shared" si="49"/>
        <v>0</v>
      </c>
      <c r="AC172">
        <f>AB172*D172*10000*VLOOKUP(A172,[1]kcal!$A$2:$C$49,3,FALSE)/1000000000000</f>
        <v>0</v>
      </c>
    </row>
    <row r="173" spans="1:29" x14ac:dyDescent="0.55000000000000004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9"/>
        <v>0</v>
      </c>
      <c r="E173" s="171">
        <f t="shared" si="52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53"/>
        <v>-70551.412916692323</v>
      </c>
      <c r="P173" s="94">
        <f t="shared" si="43"/>
        <v>0</v>
      </c>
      <c r="Q173" s="180">
        <f t="shared" si="54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5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6"/>
        <v>0</v>
      </c>
      <c r="Z173">
        <f t="shared" si="47"/>
        <v>0</v>
      </c>
      <c r="AA173">
        <f t="shared" si="48"/>
        <v>1</v>
      </c>
      <c r="AB173" s="94">
        <f t="shared" si="49"/>
        <v>-70551.412916692323</v>
      </c>
      <c r="AC173">
        <f>AB173*D173*10000*VLOOKUP(A173,[1]kcal!$A$2:$C$49,3,FALSE)/1000000000000</f>
        <v>0</v>
      </c>
    </row>
    <row r="174" spans="1:29" x14ac:dyDescent="0.55000000000000004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9"/>
        <v>1</v>
      </c>
      <c r="E174" s="171">
        <f t="shared" si="52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53"/>
        <v>-344258.58126598754</v>
      </c>
      <c r="P174" s="94">
        <f t="shared" si="43"/>
        <v>0</v>
      </c>
      <c r="Q174" s="180">
        <f t="shared" si="54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5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6"/>
        <v>0</v>
      </c>
      <c r="Z174">
        <f t="shared" si="47"/>
        <v>0</v>
      </c>
      <c r="AA174">
        <f t="shared" si="48"/>
        <v>1</v>
      </c>
      <c r="AB174" s="94">
        <f t="shared" si="49"/>
        <v>-344258.58126598754</v>
      </c>
      <c r="AC174">
        <f>AB174*D174*10000*VLOOKUP(A174,[1]kcal!$A$2:$C$49,3,FALSE)/1000000000000</f>
        <v>-0.31327530895204864</v>
      </c>
    </row>
    <row r="175" spans="1:29" x14ac:dyDescent="0.55000000000000004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9"/>
        <v>1</v>
      </c>
      <c r="E175" s="171">
        <f t="shared" si="52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53"/>
        <v>-166933.87454175885</v>
      </c>
      <c r="P175" s="94">
        <f t="shared" si="43"/>
        <v>0</v>
      </c>
      <c r="Q175" s="180">
        <f t="shared" si="54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5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6"/>
        <v>0</v>
      </c>
      <c r="Z175">
        <f t="shared" si="47"/>
        <v>0</v>
      </c>
      <c r="AA175">
        <f t="shared" si="48"/>
        <v>1</v>
      </c>
      <c r="AB175" s="94">
        <f t="shared" si="49"/>
        <v>222833.98833453824</v>
      </c>
      <c r="AC175">
        <f>AB175*D175*10000*VLOOKUP(A175,[1]kcal!$A$2:$C$49,3,FALSE)/1000000000000</f>
        <v>0.1403854126507591</v>
      </c>
    </row>
    <row r="176" spans="1:29" x14ac:dyDescent="0.55000000000000004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9"/>
        <v>1</v>
      </c>
      <c r="E176" s="171">
        <f t="shared" si="52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53"/>
        <v>1.1976865502381491</v>
      </c>
      <c r="P176" s="94">
        <f t="shared" si="43"/>
        <v>1.1976865502381491</v>
      </c>
      <c r="Q176" s="180">
        <f t="shared" si="54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5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6"/>
        <v>0</v>
      </c>
      <c r="Z176">
        <f t="shared" si="47"/>
        <v>0</v>
      </c>
      <c r="AA176">
        <f t="shared" si="48"/>
        <v>1</v>
      </c>
      <c r="AB176" s="94">
        <f t="shared" si="49"/>
        <v>1.1976865502381491</v>
      </c>
      <c r="AC176">
        <f>AB176*D176*10000*VLOOKUP(A176,[1]kcal!$A$2:$C$49,3,FALSE)/1000000000000</f>
        <v>9.9407983669766362E-7</v>
      </c>
    </row>
    <row r="177" spans="1:29" x14ac:dyDescent="0.55000000000000004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9"/>
        <v>1</v>
      </c>
      <c r="E177" s="171">
        <f t="shared" si="52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53"/>
        <v>-41950.335705993944</v>
      </c>
      <c r="P177" s="94">
        <f t="shared" si="43"/>
        <v>0</v>
      </c>
      <c r="Q177" s="180">
        <f t="shared" si="54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5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6"/>
        <v>0</v>
      </c>
      <c r="Z177">
        <f t="shared" si="47"/>
        <v>0</v>
      </c>
      <c r="AA177">
        <f t="shared" si="48"/>
        <v>1</v>
      </c>
      <c r="AB177" s="94">
        <f t="shared" si="49"/>
        <v>7577.0634215631153</v>
      </c>
      <c r="AC177">
        <f>AB177*D177*10000*VLOOKUP(A177,[1]kcal!$A$2:$C$49,3,FALSE)/1000000000000</f>
        <v>1.4775273672048075E-2</v>
      </c>
    </row>
    <row r="178" spans="1:29" x14ac:dyDescent="0.55000000000000004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9"/>
        <v>1</v>
      </c>
      <c r="E178" s="171">
        <f t="shared" si="52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3"/>
        <v>395448.91426064254</v>
      </c>
      <c r="P178" s="94">
        <f t="shared" si="43"/>
        <v>0</v>
      </c>
      <c r="Q178" s="180">
        <f t="shared" si="54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5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6"/>
        <v>0</v>
      </c>
      <c r="Z178">
        <f t="shared" si="47"/>
        <v>0</v>
      </c>
      <c r="AA178">
        <f t="shared" si="48"/>
        <v>1</v>
      </c>
      <c r="AB178" s="94">
        <f t="shared" si="49"/>
        <v>395448.91426064254</v>
      </c>
      <c r="AC178">
        <f>AB178*D178*10000*VLOOKUP(A178,[1]kcal!$A$2:$C$49,3,FALSE)/1000000000000</f>
        <v>0.15422507656165058</v>
      </c>
    </row>
    <row r="179" spans="1:29" x14ac:dyDescent="0.55000000000000004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9"/>
        <v>0</v>
      </c>
      <c r="E179" s="171">
        <f t="shared" si="52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3"/>
        <v>0</v>
      </c>
      <c r="P179" s="94">
        <f t="shared" si="43"/>
        <v>0</v>
      </c>
      <c r="Q179" s="180">
        <f t="shared" si="54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5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6"/>
        <v>16127.04781897025</v>
      </c>
      <c r="Z179">
        <f t="shared" si="47"/>
        <v>0</v>
      </c>
      <c r="AA179">
        <f t="shared" si="48"/>
        <v>0</v>
      </c>
      <c r="AB179" s="94">
        <f t="shared" si="49"/>
        <v>38860.356190289756</v>
      </c>
      <c r="AC179">
        <f>AB179*D179*10000*VLOOKUP(A179,[1]kcal!$A$2:$C$49,3,FALSE)/1000000000000</f>
        <v>0</v>
      </c>
    </row>
    <row r="180" spans="1:29" x14ac:dyDescent="0.55000000000000004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9"/>
        <v>0</v>
      </c>
      <c r="E180" s="171">
        <f t="shared" si="52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 t="shared" ref="O180:O181" si="57">G180-SUM(H180:N180)</f>
        <v>0</v>
      </c>
      <c r="P180" s="94">
        <f t="shared" si="43"/>
        <v>0</v>
      </c>
      <c r="Q180" s="180">
        <f t="shared" ref="Q180:Q181" si="58"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 t="shared" ref="U180:U181" si="59"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 t="shared" ref="Y180:Y181" si="60">W180-X180</f>
        <v>0</v>
      </c>
      <c r="Z180">
        <f t="shared" si="47"/>
        <v>0</v>
      </c>
      <c r="AA180">
        <f t="shared" si="48"/>
        <v>0</v>
      </c>
      <c r="AB180" s="94">
        <f t="shared" si="49"/>
        <v>0</v>
      </c>
      <c r="AC180">
        <f>AB180*D180*10000*VLOOKUP(A180,[1]kcal!$A$2:$C$49,3,FALSE)/1000000000000</f>
        <v>0</v>
      </c>
    </row>
    <row r="181" spans="1:29" x14ac:dyDescent="0.55000000000000004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61">D133</f>
        <v>0</v>
      </c>
      <c r="E181" s="171">
        <f t="shared" si="52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 t="shared" si="57"/>
        <v>0</v>
      </c>
      <c r="P181" s="94">
        <f t="shared" si="43"/>
        <v>0</v>
      </c>
      <c r="Q181" s="180">
        <f t="shared" si="58"/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 t="shared" si="59"/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 t="shared" si="60"/>
        <v>0</v>
      </c>
      <c r="Z181">
        <f t="shared" si="47"/>
        <v>0</v>
      </c>
      <c r="AA181">
        <f t="shared" si="48"/>
        <v>0</v>
      </c>
      <c r="AB181" s="94">
        <f t="shared" si="49"/>
        <v>0</v>
      </c>
      <c r="AC181">
        <f>AB181*D181*10000*VLOOKUP(A181,[1]kcal!$A$2:$C$49,3,FALSE)/1000000000000</f>
        <v>0</v>
      </c>
    </row>
    <row r="182" spans="1:29" x14ac:dyDescent="0.55000000000000004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61"/>
        <v>0</v>
      </c>
      <c r="E182" s="171">
        <f t="shared" si="52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53"/>
        <v>346998.01962126989</v>
      </c>
      <c r="P182" s="94">
        <f t="shared" si="43"/>
        <v>0</v>
      </c>
      <c r="Q182" s="180">
        <f t="shared" si="54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5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6"/>
        <v>0</v>
      </c>
      <c r="Z182">
        <f t="shared" si="47"/>
        <v>0</v>
      </c>
      <c r="AA182">
        <f t="shared" si="48"/>
        <v>1</v>
      </c>
      <c r="AB182" s="94">
        <f t="shared" si="49"/>
        <v>346998.01962126989</v>
      </c>
      <c r="AC182">
        <f>AB182*D182*10000*VLOOKUP(A182,[1]kcal!$A$2:$C$49,3,FALSE)/1000000000000</f>
        <v>0</v>
      </c>
    </row>
    <row r="183" spans="1:29" x14ac:dyDescent="0.55000000000000004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61"/>
        <v>0</v>
      </c>
      <c r="E183" s="171">
        <f t="shared" si="52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3"/>
        <v>0</v>
      </c>
      <c r="P183" s="94">
        <f t="shared" si="43"/>
        <v>0</v>
      </c>
      <c r="Q183" s="180">
        <f t="shared" si="54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5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6"/>
        <v>0</v>
      </c>
      <c r="Z183">
        <f t="shared" si="47"/>
        <v>0</v>
      </c>
      <c r="AA183">
        <f t="shared" si="48"/>
        <v>0</v>
      </c>
      <c r="AB183" s="94">
        <f t="shared" si="49"/>
        <v>192563.22613808865</v>
      </c>
      <c r="AC183">
        <f>AB183*D183*10000*VLOOKUP(A183,[1]kcal!$A$2:$C$49,3,FALSE)/1000000000000</f>
        <v>0</v>
      </c>
    </row>
    <row r="184" spans="1:29" x14ac:dyDescent="0.55000000000000004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61"/>
        <v>0</v>
      </c>
      <c r="E184" s="171">
        <f t="shared" si="52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53"/>
        <v>70002.843567045958</v>
      </c>
      <c r="P184" s="94">
        <f t="shared" si="43"/>
        <v>0</v>
      </c>
      <c r="Q184" s="180">
        <f t="shared" si="54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5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6"/>
        <v>0</v>
      </c>
      <c r="Z184">
        <f t="shared" si="47"/>
        <v>0</v>
      </c>
      <c r="AA184">
        <f t="shared" si="48"/>
        <v>1</v>
      </c>
      <c r="AB184" s="94">
        <f t="shared" si="49"/>
        <v>70002.843567045958</v>
      </c>
      <c r="AC184">
        <f>AB184*D184*10000*VLOOKUP(A184,[1]kcal!$A$2:$C$49,3,FALSE)/1000000000000</f>
        <v>0</v>
      </c>
    </row>
    <row r="185" spans="1:29" x14ac:dyDescent="0.55000000000000004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61"/>
        <v>1</v>
      </c>
      <c r="E185" s="171">
        <f t="shared" si="52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3"/>
        <v>0</v>
      </c>
      <c r="P185" s="94">
        <f t="shared" si="43"/>
        <v>0</v>
      </c>
      <c r="Q185" s="180">
        <f t="shared" si="54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5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6"/>
        <v>0</v>
      </c>
      <c r="Z185">
        <f t="shared" si="47"/>
        <v>0</v>
      </c>
      <c r="AA185">
        <f t="shared" si="48"/>
        <v>0</v>
      </c>
      <c r="AB185" s="94">
        <f t="shared" si="49"/>
        <v>61620.23236418837</v>
      </c>
      <c r="AC185">
        <f>AB185*D185*10000*VLOOKUP(A185,[1]kcal!$A$2:$C$49,3,FALSE)/1000000000000</f>
        <v>0.55458209127769531</v>
      </c>
    </row>
    <row r="186" spans="1:29" x14ac:dyDescent="0.55000000000000004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61"/>
        <v>1</v>
      </c>
      <c r="E186" s="171">
        <f t="shared" si="52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53"/>
        <v>2105567.5565972263</v>
      </c>
      <c r="P186" s="94">
        <f t="shared" si="43"/>
        <v>1637775.5474174484</v>
      </c>
      <c r="Q186" s="180">
        <f t="shared" si="54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5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6"/>
        <v>0</v>
      </c>
      <c r="Z186">
        <f t="shared" si="47"/>
        <v>0</v>
      </c>
      <c r="AA186">
        <f t="shared" si="48"/>
        <v>1</v>
      </c>
      <c r="AB186" s="94">
        <f t="shared" si="49"/>
        <v>2105567.5565972263</v>
      </c>
      <c r="AC186">
        <f>AB186*D186*10000*VLOOKUP(A186,[1]kcal!$A$2:$C$49,3,FALSE)/1000000000000</f>
        <v>0.63167026697916784</v>
      </c>
    </row>
    <row r="187" spans="1:29" x14ac:dyDescent="0.55000000000000004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61"/>
        <v>0</v>
      </c>
      <c r="E187" s="171">
        <f t="shared" si="52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53"/>
        <v>23179.475218292017</v>
      </c>
      <c r="P187" s="94">
        <f t="shared" si="43"/>
        <v>0</v>
      </c>
      <c r="Q187" s="180">
        <f t="shared" si="54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5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6"/>
        <v>0</v>
      </c>
      <c r="Z187">
        <f t="shared" si="47"/>
        <v>0</v>
      </c>
      <c r="AA187">
        <f t="shared" si="48"/>
        <v>1</v>
      </c>
      <c r="AB187" s="94">
        <f t="shared" si="49"/>
        <v>23179.475218292017</v>
      </c>
      <c r="AC187">
        <f>AB187*D187*10000*VLOOKUP(A187,[1]kcal!$A$2:$C$49,3,FALSE)/1000000000000</f>
        <v>0</v>
      </c>
    </row>
    <row r="188" spans="1:29" x14ac:dyDescent="0.55000000000000004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61"/>
        <v>0</v>
      </c>
      <c r="E188" s="171">
        <f t="shared" si="52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53"/>
        <v>14085.970705770382</v>
      </c>
      <c r="P188" s="94">
        <f t="shared" si="43"/>
        <v>0</v>
      </c>
      <c r="Q188" s="180">
        <f t="shared" si="54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5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6"/>
        <v>0</v>
      </c>
      <c r="Z188">
        <f t="shared" si="47"/>
        <v>0</v>
      </c>
      <c r="AA188">
        <f t="shared" si="48"/>
        <v>1</v>
      </c>
      <c r="AB188" s="94">
        <f t="shared" si="49"/>
        <v>14085.970705770382</v>
      </c>
      <c r="AC188">
        <f>AB188*D188*10000*VLOOKUP(A188,[1]kcal!$A$2:$C$49,3,FALSE)/1000000000000</f>
        <v>0</v>
      </c>
    </row>
    <row r="189" spans="1:29" x14ac:dyDescent="0.55000000000000004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61"/>
        <v>0</v>
      </c>
      <c r="E189" s="171">
        <f t="shared" si="52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53"/>
        <v>1978309.9489030582</v>
      </c>
      <c r="P189" s="94">
        <f t="shared" si="43"/>
        <v>1978309.9489030582</v>
      </c>
      <c r="Q189" s="180">
        <f t="shared" si="54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55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56"/>
        <v>0</v>
      </c>
      <c r="Z189">
        <f t="shared" si="47"/>
        <v>0</v>
      </c>
      <c r="AA189">
        <f t="shared" si="48"/>
        <v>1</v>
      </c>
      <c r="AB189" s="94">
        <f t="shared" si="49"/>
        <v>1978309.9489030582</v>
      </c>
      <c r="AC189">
        <f>AB189*D189*10000*VLOOKUP(A189,[1]kcal!$A$2:$C$49,3,FALSE)/1000000000000</f>
        <v>0</v>
      </c>
    </row>
    <row r="190" spans="1:29" x14ac:dyDescent="0.55000000000000004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61"/>
        <v>0</v>
      </c>
      <c r="E190" s="171">
        <f t="shared" si="52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3"/>
        <v>0</v>
      </c>
      <c r="P190" s="94">
        <f t="shared" si="43"/>
        <v>0</v>
      </c>
      <c r="Q190" s="180">
        <f t="shared" si="54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5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6"/>
        <v>0</v>
      </c>
      <c r="Z190">
        <f t="shared" si="47"/>
        <v>0</v>
      </c>
      <c r="AA190">
        <f t="shared" si="48"/>
        <v>0</v>
      </c>
      <c r="AB190" s="94">
        <f t="shared" si="49"/>
        <v>0</v>
      </c>
      <c r="AC190">
        <f>AB190*D190*10000*VLOOKUP(A190,[1]kcal!$A$2:$C$49,3,FALSE)/1000000000000</f>
        <v>0</v>
      </c>
    </row>
    <row r="191" spans="1:29" x14ac:dyDescent="0.55000000000000004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61"/>
        <v>1</v>
      </c>
      <c r="E191" s="171">
        <f t="shared" si="52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3"/>
        <v>106195.08352871139</v>
      </c>
      <c r="P191" s="94">
        <f t="shared" si="43"/>
        <v>0</v>
      </c>
      <c r="Q191" s="180">
        <f t="shared" si="54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5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6"/>
        <v>0</v>
      </c>
      <c r="Z191">
        <f t="shared" si="47"/>
        <v>0</v>
      </c>
      <c r="AA191">
        <f t="shared" si="48"/>
        <v>1</v>
      </c>
      <c r="AB191" s="94">
        <f t="shared" si="49"/>
        <v>206750.71206041813</v>
      </c>
      <c r="AC191">
        <f>AB191*D191*10000*VLOOKUP(A191,[1]kcal!$A$2:$C$49,3,FALSE)/1000000000000</f>
        <v>0.40316388851781537</v>
      </c>
    </row>
    <row r="192" spans="1:29" x14ac:dyDescent="0.55000000000000004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61"/>
        <v>1</v>
      </c>
      <c r="E192" s="171">
        <f t="shared" si="52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53"/>
        <v>0</v>
      </c>
      <c r="P192" s="94">
        <f t="shared" si="43"/>
        <v>0</v>
      </c>
      <c r="Q192" s="180">
        <f t="shared" si="54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5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6"/>
        <v>0</v>
      </c>
      <c r="Z192">
        <f t="shared" si="47"/>
        <v>0</v>
      </c>
      <c r="AA192">
        <f t="shared" si="48"/>
        <v>1</v>
      </c>
      <c r="AB192" s="94">
        <f t="shared" si="49"/>
        <v>0</v>
      </c>
      <c r="AC192">
        <f>AB192*D192*10000*VLOOKUP(A192,[1]kcal!$A$2:$C$49,3,FALSE)/1000000000000</f>
        <v>0</v>
      </c>
    </row>
    <row r="193" spans="1:29" x14ac:dyDescent="0.55000000000000004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61"/>
        <v>0</v>
      </c>
      <c r="E193" s="171">
        <f t="shared" si="52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3"/>
        <v>0</v>
      </c>
      <c r="P193" s="94">
        <f t="shared" si="43"/>
        <v>0</v>
      </c>
      <c r="Q193" s="180">
        <f t="shared" si="54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5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6"/>
        <v>0</v>
      </c>
      <c r="Z193">
        <f t="shared" si="47"/>
        <v>0</v>
      </c>
      <c r="AA193">
        <f t="shared" si="48"/>
        <v>0</v>
      </c>
      <c r="AB193" s="94">
        <f t="shared" si="49"/>
        <v>0</v>
      </c>
      <c r="AC193">
        <f>AB193*D193*10000*VLOOKUP(A193,[1]kcal!$A$2:$C$49,3,FALSE)/1000000000000</f>
        <v>0</v>
      </c>
    </row>
    <row r="194" spans="1:29" x14ac:dyDescent="0.55000000000000004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61"/>
        <v>0</v>
      </c>
      <c r="E194" s="171">
        <f t="shared" si="52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53"/>
        <v>0</v>
      </c>
      <c r="P194" s="94">
        <f t="shared" ca="1" si="43"/>
        <v>0</v>
      </c>
      <c r="Q194" s="180">
        <f t="shared" ca="1" si="54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55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56"/>
        <v>337115.41074636247</v>
      </c>
      <c r="Z194">
        <f t="shared" ca="1" si="47"/>
        <v>0</v>
      </c>
      <c r="AA194">
        <f t="shared" ca="1" si="48"/>
        <v>0</v>
      </c>
      <c r="AB194" s="94">
        <f t="shared" ca="1" si="49"/>
        <v>681614.98381741357</v>
      </c>
      <c r="AC194">
        <f ca="1">AB194*D194*10000*VLOOKUP(A194,[1]kcal!$A$2:$C$49,3,FALSE)/1000000000000</f>
        <v>0</v>
      </c>
    </row>
    <row r="195" spans="1:29" x14ac:dyDescent="0.55000000000000004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61"/>
        <v>0</v>
      </c>
      <c r="E195" s="171">
        <f t="shared" si="52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53"/>
        <v>0</v>
      </c>
      <c r="P195" s="94">
        <f t="shared" si="43"/>
        <v>0</v>
      </c>
      <c r="Q195" s="180">
        <f t="shared" si="54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5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6"/>
        <v>0</v>
      </c>
      <c r="Z195">
        <f t="shared" ca="1" si="47"/>
        <v>0</v>
      </c>
      <c r="AA195">
        <f t="shared" ca="1" si="48"/>
        <v>0</v>
      </c>
      <c r="AB195" s="94">
        <f t="shared" ca="1" si="49"/>
        <v>187416.40966897184</v>
      </c>
      <c r="AC195">
        <f ca="1">AB195*D195*10000*VLOOKUP(A195,[1]kcal!$A$2:$C$49,3,FALSE)/1000000000000</f>
        <v>0</v>
      </c>
    </row>
    <row r="196" spans="1:29" x14ac:dyDescent="0.55000000000000004">
      <c r="A196" s="171" t="str">
        <f t="shared" ref="A196:A227" si="62">A148</f>
        <v>Æg</v>
      </c>
      <c r="B196" s="171" t="str">
        <f t="shared" ref="B196:B227" si="63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61"/>
        <v>1</v>
      </c>
      <c r="E196" s="171">
        <f t="shared" ref="E196:E243" si="64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11522.620478108267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53"/>
        <v>-16686.719646520272</v>
      </c>
      <c r="P196" s="94">
        <f t="shared" ref="P196:P259" si="65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4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5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6"/>
        <v>0</v>
      </c>
      <c r="Z196">
        <f t="shared" ref="Z196:Z259" si="66">IF(SUMIFS($O$4:$O$291,$A$4:$A$291,A196,$E$4:$E$291,E196)&lt;0,1,0)</f>
        <v>0</v>
      </c>
      <c r="AA196">
        <f t="shared" ref="AA196:AA259" si="67">IF(SUMIFS($O$4:$O$291,$A$4:$A$291,A196,$E$4:$E$291,E196)&gt;0,1,0)</f>
        <v>1</v>
      </c>
      <c r="AB196" s="94">
        <f t="shared" si="49"/>
        <v>11522.620478108267</v>
      </c>
      <c r="AC196">
        <f>AB196*D196*10000*VLOOKUP(A196,[1]kcal!$A$2:$C$49,3,FALSE)/1000000000000</f>
        <v>1.5901216259789408E-2</v>
      </c>
    </row>
    <row r="197" spans="1:29" x14ac:dyDescent="0.55000000000000004">
      <c r="A197" s="171" t="str">
        <f t="shared" si="62"/>
        <v>Bælgsæd</v>
      </c>
      <c r="B197" s="171" t="str">
        <f t="shared" si="63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61"/>
        <v>1</v>
      </c>
      <c r="E197" s="171">
        <f t="shared" si="64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235536.73295306222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5329.6233117734955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53"/>
        <v>230207.10964128873</v>
      </c>
      <c r="P197" s="94">
        <f t="shared" si="65"/>
        <v>0</v>
      </c>
      <c r="Q197" s="180">
        <f t="shared" si="54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5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6"/>
        <v>0</v>
      </c>
      <c r="Z197">
        <f t="shared" si="66"/>
        <v>0</v>
      </c>
      <c r="AA197">
        <f t="shared" si="67"/>
        <v>1</v>
      </c>
      <c r="AB197" s="94">
        <f t="shared" ref="AB197:AB260" si="68">G197-SUMPRODUCT($H$2:$N$2,H197:N197)</f>
        <v>230207.10964128873</v>
      </c>
      <c r="AC197">
        <f>AB197*D197*10000*VLOOKUP(A197,[1]kcal!$A$2:$C$49,3,FALSE)/1000000000000</f>
        <v>1.59878837645875</v>
      </c>
    </row>
    <row r="198" spans="1:29" x14ac:dyDescent="0.55000000000000004">
      <c r="A198" s="171" t="str">
        <f t="shared" si="62"/>
        <v>Bioaffald</v>
      </c>
      <c r="B198" s="171" t="str">
        <f t="shared" si="63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61"/>
        <v>0</v>
      </c>
      <c r="E198" s="171">
        <f t="shared" si="64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53"/>
        <v>0</v>
      </c>
      <c r="P198" s="94">
        <f t="shared" ca="1" si="65"/>
        <v>0</v>
      </c>
      <c r="Q198" s="180">
        <f t="shared" ca="1" si="54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55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56"/>
        <v>47295.568812341364</v>
      </c>
      <c r="Z198">
        <f t="shared" ca="1" si="66"/>
        <v>0</v>
      </c>
      <c r="AA198">
        <f t="shared" ca="1" si="67"/>
        <v>0</v>
      </c>
      <c r="AB198" s="94">
        <f t="shared" ca="1" si="68"/>
        <v>168912.745758362</v>
      </c>
      <c r="AC198">
        <f ca="1">AB198*D198*10000*VLOOKUP(A198,[1]kcal!$A$2:$C$49,3,FALSE)/1000000000000</f>
        <v>0</v>
      </c>
    </row>
    <row r="199" spans="1:29" x14ac:dyDescent="0.55000000000000004">
      <c r="A199" s="171" t="str">
        <f t="shared" si="62"/>
        <v>Biogas</v>
      </c>
      <c r="B199" s="171" t="str">
        <f t="shared" si="63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61"/>
        <v>0</v>
      </c>
      <c r="E199" s="171">
        <f t="shared" si="64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93239749.064297408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93239749.064297408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53"/>
        <v>0</v>
      </c>
      <c r="P199" s="94">
        <f t="shared" ca="1" si="65"/>
        <v>0</v>
      </c>
      <c r="Q199" s="180">
        <f t="shared" ca="1" si="54"/>
        <v>93239749.064297408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5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56"/>
        <v>0</v>
      </c>
      <c r="Z199">
        <f t="shared" ca="1" si="66"/>
        <v>0</v>
      </c>
      <c r="AA199">
        <f t="shared" ca="1" si="67"/>
        <v>0</v>
      </c>
      <c r="AB199" s="94">
        <f t="shared" ca="1" si="68"/>
        <v>93239749.064297408</v>
      </c>
      <c r="AC199">
        <f ca="1">AB199*D199*10000*VLOOKUP(A199,[1]kcal!$A$2:$C$49,3,FALSE)/1000000000000</f>
        <v>0</v>
      </c>
    </row>
    <row r="200" spans="1:29" x14ac:dyDescent="0.55000000000000004">
      <c r="A200" s="171" t="str">
        <f t="shared" si="62"/>
        <v>Biogasgylle</v>
      </c>
      <c r="B200" s="171" t="str">
        <f t="shared" si="63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61"/>
        <v>0</v>
      </c>
      <c r="E200" s="171">
        <f t="shared" si="64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3926338.169828245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2691211.5260409825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53"/>
        <v>1235126.6437872625</v>
      </c>
      <c r="P200" s="94">
        <f t="shared" si="65"/>
        <v>0</v>
      </c>
      <c r="Q200" s="180">
        <f t="shared" si="54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5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6"/>
        <v>0</v>
      </c>
      <c r="Z200">
        <f t="shared" ca="1" si="66"/>
        <v>0</v>
      </c>
      <c r="AA200">
        <f t="shared" ca="1" si="67"/>
        <v>1</v>
      </c>
      <c r="AB200" s="94">
        <f t="shared" ca="1" si="68"/>
        <v>1235126.6437872625</v>
      </c>
      <c r="AC200">
        <f ca="1">AB200*D200*10000*VLOOKUP(A200,[1]kcal!$A$2:$C$49,3,FALSE)/1000000000000</f>
        <v>0</v>
      </c>
    </row>
    <row r="201" spans="1:29" x14ac:dyDescent="0.55000000000000004">
      <c r="A201" s="171" t="str">
        <f t="shared" si="62"/>
        <v>Brun saft</v>
      </c>
      <c r="B201" s="171" t="str">
        <f t="shared" si="63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61"/>
        <v>0</v>
      </c>
      <c r="E201" s="171">
        <f t="shared" si="64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0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0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53"/>
        <v>0</v>
      </c>
      <c r="P201" s="94">
        <f t="shared" si="65"/>
        <v>0</v>
      </c>
      <c r="Q201" s="180">
        <f t="shared" si="54"/>
        <v>0</v>
      </c>
      <c r="R201">
        <f>IFERROR(VLOOKUP(A201,[1]Energiindhold!$A$2:$C$11,3,FALSE),IFERROR(VLOOKUP(A201,[1]Biogasudbytte!$A$2:$B$18,2,FALSE)*[1]Energiindhold!$C$10,0))*P201</f>
        <v>0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</v>
      </c>
      <c r="T201">
        <f>IFERROR(VLOOKUP(A201,[1]Biogasudbytte!$A$2:$B$18,2,FALSE)*[1]Energiindhold!$C$10,0)*K201*IFERROR(VLOOKUP(A201,Biogasanlæg!$F$3:$G$8,2,FALSE),1)</f>
        <v>0</v>
      </c>
      <c r="U201" s="170">
        <f t="shared" si="55"/>
        <v>0</v>
      </c>
      <c r="V201" s="169">
        <f>P201*IFERROR(VLOOKUP(A201,[1]Tørstofindhold!A$2:B$24,2,FALSE),0)</f>
        <v>0</v>
      </c>
      <c r="W201">
        <f>IF(E201=År1,Q201,SUM(P201,Q201))*IFERROR(VLOOKUP(A201,[1]Tørstofindhold!A$2:B$24,2,FALSE),0)</f>
        <v>0</v>
      </c>
      <c r="X201">
        <f>K201*IFERROR(VLOOKUP(A201,[1]Tørstofindhold!A$2:B$24,2,FALSE),0)</f>
        <v>0</v>
      </c>
      <c r="Y201" s="170">
        <f t="shared" si="56"/>
        <v>0</v>
      </c>
      <c r="Z201">
        <f t="shared" si="66"/>
        <v>0</v>
      </c>
      <c r="AA201">
        <f t="shared" si="67"/>
        <v>0</v>
      </c>
      <c r="AB201" s="94">
        <f t="shared" si="68"/>
        <v>0</v>
      </c>
      <c r="AC201">
        <f>AB201*D201*10000*VLOOKUP(A201,[1]kcal!$A$2:$C$49,3,FALSE)/1000000000000</f>
        <v>0</v>
      </c>
    </row>
    <row r="202" spans="1:29" x14ac:dyDescent="0.55000000000000004">
      <c r="A202" s="171" t="str">
        <f t="shared" si="62"/>
        <v>Dybstrøelse</v>
      </c>
      <c r="B202" s="171" t="str">
        <f t="shared" si="63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61"/>
        <v>0</v>
      </c>
      <c r="E202" s="171">
        <f t="shared" si="64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342788.14875582355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257091.11156686768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32442.449792961874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53"/>
        <v>53254.587395993993</v>
      </c>
      <c r="P202" s="94">
        <f t="shared" si="65"/>
        <v>53254.587395993993</v>
      </c>
      <c r="Q202" s="180">
        <f t="shared" si="54"/>
        <v>257091.11156686768</v>
      </c>
      <c r="R202">
        <f>IFERROR(VLOOKUP(A202,[1]Energiindhold!$A$2:$C$11,3,FALSE),IFERROR(VLOOKUP(A202,[1]Biogasudbytte!$A$2:$B$18,2,FALSE)*[1]Energiindhold!$C$10,0))*P202</f>
        <v>0.11471038125097106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0.66848463556600413</v>
      </c>
      <c r="T202">
        <f>IFERROR(VLOOKUP(A202,[1]Biogasudbytte!$A$2:$B$18,2,FALSE)*[1]Energiindhold!$C$10,0)*K202*IFERROR(VLOOKUP(A202,Biogasanlæg!$F$3:$G$8,2,FALSE),1)</f>
        <v>0.55377425431503302</v>
      </c>
      <c r="U202" s="170">
        <f t="shared" si="55"/>
        <v>0.11471038125097111</v>
      </c>
      <c r="V202" s="169">
        <f>P202*IFERROR(VLOOKUP(A202,[1]Tørstofindhold!A$2:B$24,2,FALSE),0)</f>
        <v>15976.376218798197</v>
      </c>
      <c r="W202">
        <f>IF(E202=År1,Q202,SUM(P202,Q202))*IFERROR(VLOOKUP(A202,[1]Tørstofindhold!A$2:B$24,2,FALSE),0)</f>
        <v>93103.709688858493</v>
      </c>
      <c r="X202">
        <f>K202*IFERROR(VLOOKUP(A202,[1]Tørstofindhold!A$2:B$24,2,FALSE),0)</f>
        <v>77127.333470060301</v>
      </c>
      <c r="Y202" s="170">
        <f t="shared" si="56"/>
        <v>15976.376218798192</v>
      </c>
      <c r="Z202">
        <f t="shared" si="66"/>
        <v>0</v>
      </c>
      <c r="AA202">
        <f t="shared" si="67"/>
        <v>1</v>
      </c>
      <c r="AB202" s="94">
        <f t="shared" si="68"/>
        <v>53254.587395993993</v>
      </c>
      <c r="AC202">
        <f>AB202*D202*10000*VLOOKUP(A202,[1]kcal!$A$2:$C$49,3,FALSE)/1000000000000</f>
        <v>0</v>
      </c>
    </row>
    <row r="203" spans="1:29" x14ac:dyDescent="0.55000000000000004">
      <c r="A203" s="171" t="str">
        <f t="shared" si="62"/>
        <v>Fiberfraktion</v>
      </c>
      <c r="B203" s="171" t="str">
        <f t="shared" si="63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61"/>
        <v>0</v>
      </c>
      <c r="E203" s="171">
        <f t="shared" si="64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0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0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53"/>
        <v>0</v>
      </c>
      <c r="P203" s="94">
        <f t="shared" si="65"/>
        <v>0</v>
      </c>
      <c r="Q203" s="180">
        <f t="shared" si="54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5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6"/>
        <v>0</v>
      </c>
      <c r="Z203">
        <f t="shared" si="66"/>
        <v>0</v>
      </c>
      <c r="AA203">
        <f t="shared" si="67"/>
        <v>0</v>
      </c>
      <c r="AB203" s="94">
        <f t="shared" si="68"/>
        <v>0</v>
      </c>
      <c r="AC203">
        <f>AB203*D203*10000*VLOOKUP(A203,[1]kcal!$A$2:$C$49,3,FALSE)/1000000000000</f>
        <v>0</v>
      </c>
    </row>
    <row r="204" spans="1:29" x14ac:dyDescent="0.55000000000000004">
      <c r="A204" s="171" t="str">
        <f t="shared" si="62"/>
        <v>Fjerkrægylle</v>
      </c>
      <c r="B204" s="171" t="str">
        <f t="shared" si="63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61"/>
        <v>0</v>
      </c>
      <c r="E204" s="171">
        <f t="shared" si="64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678.5291555114477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508.89686663358577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169.63228887786195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53"/>
        <v>0</v>
      </c>
      <c r="P204" s="94">
        <f t="shared" si="65"/>
        <v>0</v>
      </c>
      <c r="Q204" s="180">
        <f t="shared" si="54"/>
        <v>508.89686663358577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2.3932910740910907E-4</v>
      </c>
      <c r="T204">
        <f>IFERROR(VLOOKUP(A204,[1]Biogasudbytte!$A$2:$B$18,2,FALSE)*[1]Energiindhold!$C$10,0)*K204*IFERROR(VLOOKUP(A204,Biogasanlæg!$F$3:$G$8,2,FALSE),1)</f>
        <v>2.3932910740910907E-4</v>
      </c>
      <c r="U204" s="170">
        <f t="shared" si="55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32.060502597915907</v>
      </c>
      <c r="X204">
        <f>K204*IFERROR(VLOOKUP(A204,[1]Tørstofindhold!A$2:B$24,2,FALSE),0)</f>
        <v>32.060502597915907</v>
      </c>
      <c r="Y204" s="170">
        <f t="shared" si="56"/>
        <v>0</v>
      </c>
      <c r="Z204">
        <f t="shared" si="66"/>
        <v>0</v>
      </c>
      <c r="AA204">
        <f t="shared" si="67"/>
        <v>0</v>
      </c>
      <c r="AB204" s="94">
        <f t="shared" si="68"/>
        <v>0</v>
      </c>
      <c r="AC204">
        <f>AB204*D204*10000*VLOOKUP(A204,[1]kcal!$A$2:$C$49,3,FALSE)/1000000000000</f>
        <v>0</v>
      </c>
    </row>
    <row r="205" spans="1:29" x14ac:dyDescent="0.55000000000000004">
      <c r="A205" s="171" t="str">
        <f t="shared" si="62"/>
        <v>Fjerkrækød</v>
      </c>
      <c r="B205" s="171" t="str">
        <f t="shared" si="63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61"/>
        <v>1</v>
      </c>
      <c r="E205" s="171">
        <f t="shared" si="64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8276.4182574830029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53"/>
        <v>-22283.700210864583</v>
      </c>
      <c r="P205" s="94">
        <f t="shared" si="65"/>
        <v>0</v>
      </c>
      <c r="Q205" s="180">
        <f t="shared" si="54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5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6"/>
        <v>0</v>
      </c>
      <c r="Z205">
        <f t="shared" si="66"/>
        <v>0</v>
      </c>
      <c r="AA205">
        <f t="shared" si="67"/>
        <v>1</v>
      </c>
      <c r="AB205" s="94">
        <f t="shared" si="68"/>
        <v>8276.4182574830029</v>
      </c>
      <c r="AC205">
        <f>AB205*D205*10000*VLOOKUP(A205,[1]kcal!$A$2:$C$49,3,FALSE)/1000000000000</f>
        <v>1.2580155751374165E-2</v>
      </c>
    </row>
    <row r="206" spans="1:29" x14ac:dyDescent="0.55000000000000004">
      <c r="A206" s="171" t="str">
        <f t="shared" si="62"/>
        <v>Frø</v>
      </c>
      <c r="B206" s="171" t="str">
        <f t="shared" si="63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61"/>
        <v>0</v>
      </c>
      <c r="E206" s="171">
        <f t="shared" si="64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329128.73487048305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3"/>
        <v>329128.73487048305</v>
      </c>
      <c r="P206" s="94">
        <f t="shared" si="65"/>
        <v>0</v>
      </c>
      <c r="Q206" s="180">
        <f t="shared" si="54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5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6"/>
        <v>0</v>
      </c>
      <c r="Z206">
        <f t="shared" si="66"/>
        <v>0</v>
      </c>
      <c r="AA206">
        <f t="shared" si="67"/>
        <v>1</v>
      </c>
      <c r="AB206" s="94">
        <f t="shared" si="68"/>
        <v>329128.73487048305</v>
      </c>
      <c r="AC206">
        <f>AB206*D206*10000*VLOOKUP(A206,[1]kcal!$A$2:$C$49,3,FALSE)/1000000000000</f>
        <v>0</v>
      </c>
    </row>
    <row r="207" spans="1:29" x14ac:dyDescent="0.55000000000000004">
      <c r="A207" s="171" t="str">
        <f t="shared" si="62"/>
        <v>Frugt</v>
      </c>
      <c r="B207" s="171" t="str">
        <f t="shared" si="63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61"/>
        <v>1</v>
      </c>
      <c r="E207" s="171">
        <f t="shared" si="64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9019.2915882405541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3"/>
        <v>-214304.65106506873</v>
      </c>
      <c r="P207" s="94">
        <f t="shared" si="65"/>
        <v>0</v>
      </c>
      <c r="Q207" s="180">
        <f t="shared" si="54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5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6"/>
        <v>0</v>
      </c>
      <c r="Z207">
        <f t="shared" si="66"/>
        <v>1</v>
      </c>
      <c r="AA207">
        <f t="shared" si="67"/>
        <v>0</v>
      </c>
      <c r="AB207" s="94">
        <f t="shared" si="68"/>
        <v>9019.2915882405541</v>
      </c>
      <c r="AC207">
        <f>AB207*D207*10000*VLOOKUP(A207,[1]kcal!$A$2:$C$49,3,FALSE)/1000000000000</f>
        <v>4.6900316258850876E-3</v>
      </c>
    </row>
    <row r="208" spans="1:29" x14ac:dyDescent="0.55000000000000004">
      <c r="A208" s="171" t="str">
        <f t="shared" si="62"/>
        <v>Glycerin</v>
      </c>
      <c r="B208" s="171" t="str">
        <f t="shared" si="63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61"/>
        <v>0</v>
      </c>
      <c r="E208" s="171">
        <f t="shared" si="64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3"/>
        <v>-28548.400000000001</v>
      </c>
      <c r="P208" s="94">
        <f t="shared" si="65"/>
        <v>0</v>
      </c>
      <c r="Q208" s="180">
        <f t="shared" si="54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5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6"/>
        <v>0</v>
      </c>
      <c r="Z208">
        <f t="shared" si="66"/>
        <v>1</v>
      </c>
      <c r="AA208">
        <f t="shared" si="67"/>
        <v>0</v>
      </c>
      <c r="AB208" s="94">
        <f t="shared" si="68"/>
        <v>-28548.400000000001</v>
      </c>
      <c r="AC208">
        <f>AB208*D208*10000*VLOOKUP(A208,[1]kcal!$A$2:$C$49,3,FALSE)/1000000000000</f>
        <v>0</v>
      </c>
    </row>
    <row r="209" spans="1:29" x14ac:dyDescent="0.55000000000000004">
      <c r="A209" s="171" t="str">
        <f t="shared" si="62"/>
        <v>Græs</v>
      </c>
      <c r="B209" s="171" t="str">
        <f t="shared" si="63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61"/>
        <v>0</v>
      </c>
      <c r="E209" s="171">
        <f t="shared" si="64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3352452.9516122066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1011222.0008630237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0</v>
      </c>
      <c r="O209" s="179">
        <f t="shared" si="53"/>
        <v>2341230.9507491831</v>
      </c>
      <c r="P209" s="94">
        <f t="shared" si="65"/>
        <v>2341230.9507491831</v>
      </c>
      <c r="Q209" s="180">
        <f t="shared" si="54"/>
        <v>0</v>
      </c>
      <c r="R209">
        <f>IFERROR(VLOOKUP(A209,[1]Energiindhold!$A$2:$C$11,3,FALSE),IFERROR(VLOOKUP(A209,[1]Biogasudbytte!$A$2:$B$18,2,FALSE)*[1]Energiindhold!$C$10,0))*P209</f>
        <v>4.3075722955096536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4.3075722955096536</v>
      </c>
      <c r="T209">
        <f>IFERROR(VLOOKUP(A209,[1]Biogasudbytte!$A$2:$B$18,2,FALSE)*[1]Energiindhold!$C$10,0)*K209*IFERROR(VLOOKUP(A209,Biogasanlæg!$F$3:$G$8,2,FALSE),1)</f>
        <v>0</v>
      </c>
      <c r="U209" s="170">
        <f t="shared" si="55"/>
        <v>4.3075722955096536</v>
      </c>
      <c r="V209" s="169">
        <f>P209*IFERROR(VLOOKUP(A209,[1]Tørstofindhold!A$2:B$24,2,FALSE),0)</f>
        <v>655544.6662097713</v>
      </c>
      <c r="W209">
        <f>IF(E209=År1,Q209,SUM(P209,Q209))*IFERROR(VLOOKUP(A209,[1]Tørstofindhold!A$2:B$24,2,FALSE),0)</f>
        <v>655544.6662097713</v>
      </c>
      <c r="X209">
        <f>K209*IFERROR(VLOOKUP(A209,[1]Tørstofindhold!A$2:B$24,2,FALSE),0)</f>
        <v>0</v>
      </c>
      <c r="Y209" s="170">
        <f t="shared" si="56"/>
        <v>655544.6662097713</v>
      </c>
      <c r="Z209">
        <f t="shared" si="66"/>
        <v>0</v>
      </c>
      <c r="AA209">
        <f t="shared" si="67"/>
        <v>1</v>
      </c>
      <c r="AB209" s="94">
        <f t="shared" si="68"/>
        <v>2341230.9507491831</v>
      </c>
      <c r="AC209">
        <f>AB209*D209*10000*VLOOKUP(A209,[1]kcal!$A$2:$C$49,3,FALSE)/1000000000000</f>
        <v>0</v>
      </c>
    </row>
    <row r="210" spans="1:29" x14ac:dyDescent="0.55000000000000004">
      <c r="A210" s="171" t="str">
        <f t="shared" si="62"/>
        <v>Græsprotein</v>
      </c>
      <c r="B210" s="171" t="str">
        <f t="shared" si="63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61"/>
        <v>0</v>
      </c>
      <c r="E210" s="171">
        <f t="shared" si="64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0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0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53"/>
        <v>0</v>
      </c>
      <c r="P210" s="94">
        <f t="shared" si="65"/>
        <v>0</v>
      </c>
      <c r="Q210" s="180">
        <f t="shared" si="54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5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6"/>
        <v>0</v>
      </c>
      <c r="Z210">
        <f t="shared" si="66"/>
        <v>0</v>
      </c>
      <c r="AA210">
        <f t="shared" si="67"/>
        <v>0</v>
      </c>
      <c r="AB210" s="94">
        <f t="shared" si="68"/>
        <v>0</v>
      </c>
      <c r="AC210">
        <f>AB210*D210*10000*VLOOKUP(A210,[1]kcal!$A$2:$C$49,3,FALSE)/1000000000000</f>
        <v>0</v>
      </c>
    </row>
    <row r="211" spans="1:29" x14ac:dyDescent="0.55000000000000004">
      <c r="A211" s="171" t="str">
        <f t="shared" si="62"/>
        <v>Grøntsager</v>
      </c>
      <c r="B211" s="171" t="str">
        <f t="shared" si="63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61"/>
        <v>1</v>
      </c>
      <c r="E211" s="171">
        <f t="shared" si="64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348816.87089037144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3"/>
        <v>114914.42569032646</v>
      </c>
      <c r="P211" s="94">
        <f t="shared" si="65"/>
        <v>0</v>
      </c>
      <c r="Q211" s="180">
        <f t="shared" si="54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5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6"/>
        <v>0</v>
      </c>
      <c r="Z211">
        <f t="shared" si="66"/>
        <v>0</v>
      </c>
      <c r="AA211">
        <f t="shared" si="67"/>
        <v>1</v>
      </c>
      <c r="AB211" s="94">
        <f t="shared" si="68"/>
        <v>348816.87089037144</v>
      </c>
      <c r="AC211">
        <f>AB211*D211*10000*VLOOKUP(A211,[1]kcal!$A$2:$C$49,3,FALSE)/1000000000000</f>
        <v>0.13603857964724486</v>
      </c>
    </row>
    <row r="212" spans="1:29" x14ac:dyDescent="0.55000000000000004">
      <c r="A212" s="171" t="str">
        <f t="shared" si="62"/>
        <v>Halm</v>
      </c>
      <c r="B212" s="171" t="str">
        <f t="shared" si="63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61"/>
        <v>0</v>
      </c>
      <c r="E212" s="171">
        <f t="shared" si="64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729242.68021899601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63881.457195285089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66924.669018519271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598436.55400519155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53"/>
        <v>0</v>
      </c>
      <c r="P212" s="94">
        <f t="shared" si="65"/>
        <v>0</v>
      </c>
      <c r="Q212" s="180">
        <f t="shared" si="54"/>
        <v>598436.55400519155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6.1853243284565833</v>
      </c>
      <c r="T212">
        <f>IFERROR(VLOOKUP(A212,[1]Biogasudbytte!$A$2:$B$18,2,FALSE)*[1]Energiindhold!$C$10,0)*K212*IFERROR(VLOOKUP(A212,Biogasanlæg!$F$3:$G$8,2,FALSE),1)</f>
        <v>0</v>
      </c>
      <c r="U212" s="170">
        <f t="shared" si="55"/>
        <v>6.1853243284565833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508671.07090441277</v>
      </c>
      <c r="X212">
        <f>K212*IFERROR(VLOOKUP(A212,[1]Tørstofindhold!A$2:B$24,2,FALSE),0)</f>
        <v>0</v>
      </c>
      <c r="Y212" s="170">
        <f t="shared" si="56"/>
        <v>508671.07090441277</v>
      </c>
      <c r="Z212">
        <f t="shared" si="66"/>
        <v>0</v>
      </c>
      <c r="AA212">
        <f t="shared" si="67"/>
        <v>0</v>
      </c>
      <c r="AB212" s="94">
        <f t="shared" si="68"/>
        <v>598436.55400519166</v>
      </c>
      <c r="AC212">
        <f>AB212*D212*10000*VLOOKUP(A212,[1]kcal!$A$2:$C$49,3,FALSE)/1000000000000</f>
        <v>0</v>
      </c>
    </row>
    <row r="213" spans="1:29" x14ac:dyDescent="0.55000000000000004">
      <c r="A213" s="171" t="str">
        <f t="shared" si="62"/>
        <v>Have/parkaffald</v>
      </c>
      <c r="B213" s="171" t="str">
        <f t="shared" si="63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61"/>
        <v>0</v>
      </c>
      <c r="E213" s="171">
        <f t="shared" si="64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3"/>
        <v>0</v>
      </c>
      <c r="P213" s="94">
        <f t="shared" si="65"/>
        <v>0</v>
      </c>
      <c r="Q213" s="180">
        <f t="shared" si="54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5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6"/>
        <v>32410.6736191823</v>
      </c>
      <c r="Z213">
        <f t="shared" si="66"/>
        <v>0</v>
      </c>
      <c r="AA213">
        <f t="shared" si="67"/>
        <v>0</v>
      </c>
      <c r="AB213" s="94">
        <f t="shared" si="68"/>
        <v>108035.57873060764</v>
      </c>
      <c r="AC213">
        <f>AB213*D213*10000*VLOOKUP(A213,[1]kcal!$A$2:$C$49,3,FALSE)/1000000000000</f>
        <v>0</v>
      </c>
    </row>
    <row r="214" spans="1:29" x14ac:dyDescent="0.55000000000000004">
      <c r="A214" s="171" t="str">
        <f t="shared" si="62"/>
        <v>Import af foder</v>
      </c>
      <c r="B214" s="171" t="str">
        <f t="shared" si="63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61"/>
        <v>1</v>
      </c>
      <c r="E214" s="171">
        <f t="shared" si="64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398981.52292304358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53"/>
        <v>-398981.52292304358</v>
      </c>
      <c r="P214" s="94">
        <f t="shared" si="65"/>
        <v>0</v>
      </c>
      <c r="Q214" s="180">
        <f t="shared" si="54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5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6"/>
        <v>0</v>
      </c>
      <c r="Z214">
        <f t="shared" si="66"/>
        <v>1</v>
      </c>
      <c r="AA214">
        <f t="shared" si="67"/>
        <v>0</v>
      </c>
      <c r="AB214" s="94">
        <f t="shared" si="68"/>
        <v>-398981.52292304358</v>
      </c>
      <c r="AC214">
        <f>AB214*D214*10000*VLOOKUP(A214,[1]kcal!$A$2:$C$49,3,FALSE)/1000000000000</f>
        <v>-0.22741946806613486</v>
      </c>
    </row>
    <row r="215" spans="1:29" x14ac:dyDescent="0.55000000000000004">
      <c r="A215" s="171" t="str">
        <f t="shared" si="62"/>
        <v>Industriaffald</v>
      </c>
      <c r="B215" s="171" t="str">
        <f t="shared" si="63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61"/>
        <v>0</v>
      </c>
      <c r="E215" s="171">
        <f t="shared" si="64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189258.59939962387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53"/>
        <v>189258.59939962387</v>
      </c>
      <c r="P215" s="94">
        <f t="shared" si="65"/>
        <v>189258.59939962387</v>
      </c>
      <c r="Q215" s="180">
        <f t="shared" si="54"/>
        <v>0</v>
      </c>
      <c r="R215">
        <f>IFERROR(VLOOKUP(A215,[1]Energiindhold!$A$2:$C$11,3,FALSE),IFERROR(VLOOKUP(A215,[1]Biogasudbytte!$A$2:$B$18,2,FALSE)*[1]Energiindhold!$C$10,0))*P215</f>
        <v>0.82008211481649229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0.82008211481649229</v>
      </c>
      <c r="T215">
        <f>IFERROR(VLOOKUP(A215,[1]Biogasudbytte!$A$2:$B$18,2,FALSE)*[1]Energiindhold!$C$10,0)*K215*IFERROR(VLOOKUP(A215,Biogasanlæg!$F$3:$G$8,2,FALSE),1)</f>
        <v>0</v>
      </c>
      <c r="U215" s="170">
        <f t="shared" si="55"/>
        <v>0.82008211481649229</v>
      </c>
      <c r="V215" s="169">
        <f>P215*IFERROR(VLOOKUP(A215,[1]Tørstofindhold!A$2:B$24,2,FALSE),0)</f>
        <v>79488.61174784202</v>
      </c>
      <c r="W215">
        <f>IF(E215=År1,Q215,SUM(P215,Q215))*IFERROR(VLOOKUP(A215,[1]Tørstofindhold!A$2:B$24,2,FALSE),0)</f>
        <v>79488.61174784202</v>
      </c>
      <c r="X215">
        <f>K215*IFERROR(VLOOKUP(A215,[1]Tørstofindhold!A$2:B$24,2,FALSE),0)</f>
        <v>0</v>
      </c>
      <c r="Y215" s="170">
        <f t="shared" si="56"/>
        <v>79488.61174784202</v>
      </c>
      <c r="Z215">
        <f t="shared" si="66"/>
        <v>0</v>
      </c>
      <c r="AA215">
        <f t="shared" si="67"/>
        <v>1</v>
      </c>
      <c r="AB215" s="94">
        <f t="shared" si="68"/>
        <v>189258.59939962387</v>
      </c>
      <c r="AC215">
        <f>AB215*D215*10000*VLOOKUP(A215,[1]kcal!$A$2:$C$49,3,FALSE)/1000000000000</f>
        <v>0</v>
      </c>
    </row>
    <row r="216" spans="1:29" x14ac:dyDescent="0.55000000000000004">
      <c r="A216" s="171" t="str">
        <f t="shared" si="62"/>
        <v>Juletræer</v>
      </c>
      <c r="B216" s="171" t="str">
        <f t="shared" si="63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61"/>
        <v>0</v>
      </c>
      <c r="E216" s="171">
        <f t="shared" si="64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193106.99813687094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3"/>
        <v>193106.99813687094</v>
      </c>
      <c r="P216" s="94">
        <f t="shared" si="65"/>
        <v>0</v>
      </c>
      <c r="Q216" s="180">
        <f t="shared" si="54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5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6"/>
        <v>0</v>
      </c>
      <c r="Z216">
        <f t="shared" si="66"/>
        <v>0</v>
      </c>
      <c r="AA216">
        <f t="shared" si="67"/>
        <v>1</v>
      </c>
      <c r="AB216" s="94">
        <f t="shared" si="68"/>
        <v>193106.99813687094</v>
      </c>
      <c r="AC216">
        <f>AB216*D216*10000*VLOOKUP(A216,[1]kcal!$A$2:$C$49,3,FALSE)/1000000000000</f>
        <v>0</v>
      </c>
    </row>
    <row r="217" spans="1:29" x14ac:dyDescent="0.55000000000000004">
      <c r="A217" s="171" t="str">
        <f t="shared" si="62"/>
        <v>Kartofler</v>
      </c>
      <c r="B217" s="171" t="str">
        <f t="shared" si="63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61"/>
        <v>1</v>
      </c>
      <c r="E217" s="171">
        <f t="shared" si="64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467828.20812687901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69">G217-SUM(H217:N217)</f>
        <v>360867.79348766245</v>
      </c>
      <c r="P217" s="94">
        <f t="shared" si="65"/>
        <v>0</v>
      </c>
      <c r="Q217" s="180">
        <f t="shared" ref="Q217:Q282" si="70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71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72">W217-X217</f>
        <v>0</v>
      </c>
      <c r="Z217">
        <f t="shared" si="66"/>
        <v>0</v>
      </c>
      <c r="AA217">
        <f t="shared" si="67"/>
        <v>1</v>
      </c>
      <c r="AB217" s="94">
        <f t="shared" si="68"/>
        <v>467828.20812687901</v>
      </c>
      <c r="AC217">
        <f>AB217*D217*10000*VLOOKUP(A217,[1]kcal!$A$2:$C$49,3,FALSE)/1000000000000</f>
        <v>0.36490600233896564</v>
      </c>
    </row>
    <row r="218" spans="1:29" x14ac:dyDescent="0.55000000000000004">
      <c r="A218" s="171" t="str">
        <f t="shared" si="62"/>
        <v>Korn</v>
      </c>
      <c r="B218" s="171" t="str">
        <f t="shared" si="63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61"/>
        <v>1</v>
      </c>
      <c r="E218" s="171">
        <f t="shared" si="64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1504812.2556117347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485809.96937735338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762767.44676900539</v>
      </c>
      <c r="P218" s="94">
        <f t="shared" si="65"/>
        <v>762767.44676900539</v>
      </c>
      <c r="Q218" s="180">
        <f t="shared" si="70"/>
        <v>0</v>
      </c>
      <c r="R218">
        <f>IFERROR(VLOOKUP(A218,[1]Energiindhold!$A$2:$C$11,3,FALSE),IFERROR(VLOOKUP(A218,[1]Biogasudbytte!$A$2:$B$18,2,FALSE)*[1]Energiindhold!$C$10,0))*P218</f>
        <v>2.6123717177412962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2.6123717177412962</v>
      </c>
      <c r="T218">
        <f>IFERROR(VLOOKUP(A218,[1]Biogasudbytte!$A$2:$B$18,2,FALSE)*[1]Energiindhold!$C$10,0)*K218*IFERROR(VLOOKUP(A218,Biogasanlæg!$F$3:$G$8,2,FALSE),1)</f>
        <v>0</v>
      </c>
      <c r="U218" s="170">
        <f t="shared" si="71"/>
        <v>2.6123717177412962</v>
      </c>
      <c r="V218" s="169">
        <f>P218*IFERROR(VLOOKUP(A218,[1]Tørstofindhold!A$2:B$24,2,FALSE),0)</f>
        <v>236457.90849839165</v>
      </c>
      <c r="W218">
        <f>IF(E218=År1,Q218,SUM(P218,Q218))*IFERROR(VLOOKUP(A218,[1]Tørstofindhold!A$2:B$24,2,FALSE),0)</f>
        <v>236457.90849839165</v>
      </c>
      <c r="X218">
        <f>K218*IFERROR(VLOOKUP(A218,[1]Tørstofindhold!A$2:B$24,2,FALSE),0)</f>
        <v>0</v>
      </c>
      <c r="Y218" s="170">
        <f t="shared" si="72"/>
        <v>236457.90849839165</v>
      </c>
      <c r="Z218">
        <f t="shared" si="66"/>
        <v>0</v>
      </c>
      <c r="AA218">
        <f t="shared" si="67"/>
        <v>1</v>
      </c>
      <c r="AB218" s="94">
        <f t="shared" si="68"/>
        <v>1019002.2862343814</v>
      </c>
      <c r="AC218">
        <f>AB218*D218*10000*VLOOKUP(A218,[1]kcal!$A$2:$C$49,3,FALSE)/1000000000000</f>
        <v>3.7295483676178356</v>
      </c>
    </row>
    <row r="219" spans="1:29" x14ac:dyDescent="0.55000000000000004">
      <c r="A219" s="171" t="str">
        <f t="shared" si="62"/>
        <v>Kunstgødning</v>
      </c>
      <c r="B219" s="171" t="str">
        <f t="shared" si="63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61"/>
        <v>0</v>
      </c>
      <c r="E219" s="171">
        <f t="shared" si="64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477463.55143540201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69"/>
        <v>-477463.55143540201</v>
      </c>
      <c r="P219" s="94">
        <f t="shared" si="65"/>
        <v>0</v>
      </c>
      <c r="Q219" s="180">
        <f t="shared" si="70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71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72"/>
        <v>0</v>
      </c>
      <c r="Z219">
        <f t="shared" ca="1" si="66"/>
        <v>1</v>
      </c>
      <c r="AA219">
        <f t="shared" ca="1" si="67"/>
        <v>0</v>
      </c>
      <c r="AB219" s="94">
        <f t="shared" ca="1" si="68"/>
        <v>-477463.55143540201</v>
      </c>
      <c r="AC219">
        <f ca="1">AB219*D219*10000*VLOOKUP(A219,[1]kcal!$A$2:$C$49,3,FALSE)/1000000000000</f>
        <v>0</v>
      </c>
    </row>
    <row r="220" spans="1:29" x14ac:dyDescent="0.55000000000000004">
      <c r="A220" s="171" t="str">
        <f t="shared" si="62"/>
        <v>Kvæggylle</v>
      </c>
      <c r="B220" s="171" t="str">
        <f t="shared" si="63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61"/>
        <v>0</v>
      </c>
      <c r="E220" s="171">
        <f t="shared" si="64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544131.82132200396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408098.865991503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136032.95533050099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69"/>
        <v>0</v>
      </c>
      <c r="P220" s="94">
        <f t="shared" si="65"/>
        <v>0</v>
      </c>
      <c r="Q220" s="180">
        <f t="shared" si="70"/>
        <v>408098.865991503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0.20657556497623894</v>
      </c>
      <c r="T220">
        <f>IFERROR(VLOOKUP(A220,[1]Biogasudbytte!$A$2:$B$18,2,FALSE)*[1]Energiindhold!$C$10,0)*K220*IFERROR(VLOOKUP(A220,Biogasanlæg!$F$3:$G$8,2,FALSE),1)</f>
        <v>0.20657556497623894</v>
      </c>
      <c r="U220" s="170">
        <f t="shared" si="71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31015.513815354228</v>
      </c>
      <c r="X220">
        <f>K220*IFERROR(VLOOKUP(A220,[1]Tørstofindhold!A$2:B$24,2,FALSE),0)</f>
        <v>31015.513815354228</v>
      </c>
      <c r="Y220" s="170">
        <f t="shared" si="72"/>
        <v>0</v>
      </c>
      <c r="Z220">
        <f t="shared" si="66"/>
        <v>0</v>
      </c>
      <c r="AA220">
        <f t="shared" si="67"/>
        <v>0</v>
      </c>
      <c r="AB220" s="94">
        <f t="shared" si="68"/>
        <v>0</v>
      </c>
      <c r="AC220">
        <f>AB220*D220*10000*VLOOKUP(A220,[1]kcal!$A$2:$C$49,3,FALSE)/1000000000000</f>
        <v>0</v>
      </c>
    </row>
    <row r="221" spans="1:29" x14ac:dyDescent="0.55000000000000004">
      <c r="A221" s="171" t="str">
        <f t="shared" si="62"/>
        <v>Mælk til foder</v>
      </c>
      <c r="B221" s="171" t="str">
        <f t="shared" si="63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61"/>
        <v>0</v>
      </c>
      <c r="E221" s="171">
        <f t="shared" si="64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68227.353372786543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125246.14782667712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69"/>
        <v>-57018.794453890572</v>
      </c>
      <c r="P221" s="94">
        <f t="shared" si="65"/>
        <v>0</v>
      </c>
      <c r="Q221" s="180">
        <f t="shared" si="70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71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72"/>
        <v>0</v>
      </c>
      <c r="Z221">
        <f t="shared" si="66"/>
        <v>1</v>
      </c>
      <c r="AA221">
        <f t="shared" si="67"/>
        <v>0</v>
      </c>
      <c r="AB221" s="94">
        <f t="shared" si="68"/>
        <v>-57018.794453890572</v>
      </c>
      <c r="AC221">
        <f>AB221*D221*10000*VLOOKUP(A221,[1]kcal!$A$2:$C$49,3,FALSE)/1000000000000</f>
        <v>0</v>
      </c>
    </row>
    <row r="222" spans="1:29" x14ac:dyDescent="0.55000000000000004">
      <c r="A222" s="171" t="str">
        <f t="shared" si="62"/>
        <v>Majs</v>
      </c>
      <c r="B222" s="171" t="str">
        <f t="shared" si="63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61"/>
        <v>1</v>
      </c>
      <c r="E222" s="171">
        <f t="shared" si="64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1298515.6524572726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467452.37797013356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69"/>
        <v>831063.27448713908</v>
      </c>
      <c r="P222" s="94">
        <f t="shared" si="65"/>
        <v>831063.27448713908</v>
      </c>
      <c r="Q222" s="180">
        <f t="shared" si="70"/>
        <v>0</v>
      </c>
      <c r="R222">
        <f>IFERROR(VLOOKUP(A222,[1]Energiindhold!$A$2:$C$11,3,FALSE),IFERROR(VLOOKUP(A222,[1]Biogasudbytte!$A$2:$B$18,2,FALSE)*[1]Energiindhold!$C$10,0))*P222</f>
        <v>2.9835171554088298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2.9835171554088298</v>
      </c>
      <c r="T222">
        <f>IFERROR(VLOOKUP(A222,[1]Biogasudbytte!$A$2:$B$18,2,FALSE)*[1]Energiindhold!$C$10,0)*K222*IFERROR(VLOOKUP(A222,Biogasanlæg!$F$3:$G$8,2,FALSE),1)</f>
        <v>0</v>
      </c>
      <c r="U222" s="170">
        <f t="shared" si="71"/>
        <v>2.9835171554088298</v>
      </c>
      <c r="V222" s="169">
        <f>P222*IFERROR(VLOOKUP(A222,[1]Tørstofindhold!A$2:B$24,2,FALSE),0)</f>
        <v>249318.98234614171</v>
      </c>
      <c r="W222">
        <f>IF(E222=År1,Q222,SUM(P222,Q222))*IFERROR(VLOOKUP(A222,[1]Tørstofindhold!A$2:B$24,2,FALSE),0)</f>
        <v>249318.98234614171</v>
      </c>
      <c r="X222">
        <f>K222*IFERROR(VLOOKUP(A222,[1]Tørstofindhold!A$2:B$24,2,FALSE),0)</f>
        <v>0</v>
      </c>
      <c r="Y222" s="170">
        <f t="shared" si="72"/>
        <v>249318.98234614171</v>
      </c>
      <c r="Z222">
        <f t="shared" si="66"/>
        <v>0</v>
      </c>
      <c r="AA222">
        <f t="shared" si="67"/>
        <v>1</v>
      </c>
      <c r="AB222" s="94">
        <f t="shared" si="68"/>
        <v>831063.27448713908</v>
      </c>
      <c r="AC222">
        <f>AB222*D222*10000*VLOOKUP(A222,[1]kcal!$A$2:$C$49,3,FALSE)/1000000000000</f>
        <v>0.75626757978329651</v>
      </c>
    </row>
    <row r="223" spans="1:29" x14ac:dyDescent="0.55000000000000004">
      <c r="A223" s="171" t="str">
        <f t="shared" si="62"/>
        <v>Mejeriprodukter</v>
      </c>
      <c r="B223" s="171" t="str">
        <f t="shared" si="63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61"/>
        <v>1</v>
      </c>
      <c r="E223" s="171">
        <f t="shared" si="64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131643.38274019925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69"/>
        <v>-277392.04906691459</v>
      </c>
      <c r="P223" s="94">
        <f t="shared" si="65"/>
        <v>0</v>
      </c>
      <c r="Q223" s="180">
        <f t="shared" si="70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71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72"/>
        <v>0</v>
      </c>
      <c r="Z223">
        <f t="shared" si="66"/>
        <v>0</v>
      </c>
      <c r="AA223">
        <f t="shared" si="67"/>
        <v>1</v>
      </c>
      <c r="AB223" s="94">
        <f t="shared" si="68"/>
        <v>131643.38274019925</v>
      </c>
      <c r="AC223">
        <f>AB223*D223*10000*VLOOKUP(A223,[1]kcal!$A$2:$C$49,3,FALSE)/1000000000000</f>
        <v>8.2935331126325534E-2</v>
      </c>
    </row>
    <row r="224" spans="1:29" x14ac:dyDescent="0.55000000000000004">
      <c r="A224" s="171" t="str">
        <f t="shared" si="62"/>
        <v>Muslinger</v>
      </c>
      <c r="B224" s="171" t="str">
        <f t="shared" si="63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61"/>
        <v>1</v>
      </c>
      <c r="E224" s="171">
        <f t="shared" si="64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69"/>
        <v>1.1976865502381491</v>
      </c>
      <c r="P224" s="94">
        <f t="shared" si="65"/>
        <v>1.1976865502381491</v>
      </c>
      <c r="Q224" s="180">
        <f t="shared" si="70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71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72"/>
        <v>0.17965298253572234</v>
      </c>
      <c r="Z224">
        <f t="shared" si="66"/>
        <v>0</v>
      </c>
      <c r="AA224">
        <f t="shared" si="67"/>
        <v>1</v>
      </c>
      <c r="AB224" s="94">
        <f t="shared" si="68"/>
        <v>1.1976865502381491</v>
      </c>
      <c r="AC224">
        <f>AB224*D224*10000*VLOOKUP(A224,[1]kcal!$A$2:$C$49,3,FALSE)/1000000000000</f>
        <v>9.9407983669766362E-7</v>
      </c>
    </row>
    <row r="225" spans="1:29" x14ac:dyDescent="0.55000000000000004">
      <c r="A225" s="171" t="str">
        <f t="shared" si="62"/>
        <v>Oksekød</v>
      </c>
      <c r="B225" s="171" t="str">
        <f t="shared" si="63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61"/>
        <v>1</v>
      </c>
      <c r="E225" s="171">
        <f t="shared" si="64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3992.121653443267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69"/>
        <v>-47983.587526184812</v>
      </c>
      <c r="P225" s="94">
        <f t="shared" si="65"/>
        <v>0</v>
      </c>
      <c r="Q225" s="180">
        <f t="shared" si="70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71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72"/>
        <v>0</v>
      </c>
      <c r="Z225">
        <f t="shared" si="66"/>
        <v>1</v>
      </c>
      <c r="AA225">
        <f t="shared" si="67"/>
        <v>0</v>
      </c>
      <c r="AB225" s="94">
        <f t="shared" si="68"/>
        <v>3992.121653443267</v>
      </c>
      <c r="AC225">
        <f>AB225*D225*10000*VLOOKUP(A225,[1]kcal!$A$2:$C$49,3,FALSE)/1000000000000</f>
        <v>7.7846372242143707E-3</v>
      </c>
    </row>
    <row r="226" spans="1:29" x14ac:dyDescent="0.55000000000000004">
      <c r="A226" s="171" t="str">
        <f t="shared" si="62"/>
        <v>Øvrige</v>
      </c>
      <c r="B226" s="171" t="str">
        <f t="shared" si="63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61"/>
        <v>1</v>
      </c>
      <c r="E226" s="171">
        <f t="shared" si="64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426239.95851510024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9"/>
        <v>426239.95851510024</v>
      </c>
      <c r="P226" s="94">
        <f t="shared" si="65"/>
        <v>0</v>
      </c>
      <c r="Q226" s="180">
        <f t="shared" si="70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71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72"/>
        <v>0</v>
      </c>
      <c r="Z226">
        <f t="shared" si="66"/>
        <v>0</v>
      </c>
      <c r="AA226">
        <f t="shared" si="67"/>
        <v>1</v>
      </c>
      <c r="AB226" s="94">
        <f t="shared" si="68"/>
        <v>426239.95851510024</v>
      </c>
      <c r="AC226">
        <f>AB226*D226*10000*VLOOKUP(A226,[1]kcal!$A$2:$C$49,3,FALSE)/1000000000000</f>
        <v>0.1662335838208891</v>
      </c>
    </row>
    <row r="227" spans="1:29" x14ac:dyDescent="0.55000000000000004">
      <c r="A227" s="171" t="str">
        <f t="shared" si="62"/>
        <v>Pil &amp; poppel</v>
      </c>
      <c r="B227" s="171" t="str">
        <f t="shared" si="63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61"/>
        <v>0</v>
      </c>
      <c r="E227" s="171">
        <f t="shared" si="64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40255.034034105825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40255.034034105825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9"/>
        <v>0</v>
      </c>
      <c r="P227" s="94">
        <f t="shared" si="65"/>
        <v>0</v>
      </c>
      <c r="Q227" s="180">
        <f t="shared" si="70"/>
        <v>40255.034034105825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0.74069262622754706</v>
      </c>
      <c r="T227">
        <f>IFERROR(VLOOKUP(A227,[1]Biogasudbytte!$A$2:$B$18,2,FALSE)*[1]Energiindhold!$C$10,0)*K227*IFERROR(VLOOKUP(A227,Biogasanlæg!$F$3:$G$8,2,FALSE),1)</f>
        <v>0</v>
      </c>
      <c r="U227" s="170">
        <f t="shared" si="71"/>
        <v>0.74069262622754706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16705.839124153918</v>
      </c>
      <c r="X227">
        <f>K227*IFERROR(VLOOKUP(A227,[1]Tørstofindhold!A$2:B$24,2,FALSE),0)</f>
        <v>0</v>
      </c>
      <c r="Y227" s="170">
        <f t="shared" si="72"/>
        <v>16705.839124153918</v>
      </c>
      <c r="Z227">
        <f t="shared" si="66"/>
        <v>0</v>
      </c>
      <c r="AA227">
        <f t="shared" si="67"/>
        <v>0</v>
      </c>
      <c r="AB227" s="94">
        <f t="shared" si="68"/>
        <v>40255.034034105825</v>
      </c>
      <c r="AC227">
        <f>AB227*D227*10000*VLOOKUP(A227,[1]kcal!$A$2:$C$49,3,FALSE)/1000000000000</f>
        <v>0</v>
      </c>
    </row>
    <row r="228" spans="1:29" x14ac:dyDescent="0.55000000000000004">
      <c r="A228" s="171" t="str">
        <f t="shared" ref="A228:A229" si="73">A180</f>
        <v>Pyrolysegas</v>
      </c>
      <c r="B228" s="171" t="str">
        <f t="shared" ref="B228:B229" si="74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61"/>
        <v>0</v>
      </c>
      <c r="E228" s="171">
        <f t="shared" si="64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 t="shared" ref="O228:O229" si="75">G228-SUM(H228:N228)</f>
        <v>0</v>
      </c>
      <c r="P228" s="94">
        <f t="shared" si="65"/>
        <v>0</v>
      </c>
      <c r="Q228" s="180">
        <f t="shared" ref="Q228:Q229" si="76"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 t="shared" ref="U228:U229" si="77"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 t="shared" ref="Y228:Y229" si="78">W228-X228</f>
        <v>0</v>
      </c>
      <c r="Z228">
        <f t="shared" si="66"/>
        <v>0</v>
      </c>
      <c r="AA228">
        <f t="shared" si="67"/>
        <v>0</v>
      </c>
      <c r="AB228" s="94">
        <f t="shared" si="68"/>
        <v>0</v>
      </c>
      <c r="AC228">
        <f>AB228*D228*10000*VLOOKUP(A228,[1]kcal!$A$2:$C$49,3,FALSE)/1000000000000</f>
        <v>0</v>
      </c>
    </row>
    <row r="229" spans="1:29" x14ac:dyDescent="0.55000000000000004">
      <c r="A229" s="171" t="str">
        <f t="shared" si="73"/>
        <v>Pyrolyseolie</v>
      </c>
      <c r="B229" s="171" t="str">
        <f t="shared" si="74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61"/>
        <v>0</v>
      </c>
      <c r="E229" s="171">
        <f t="shared" si="64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 t="shared" si="75"/>
        <v>0</v>
      </c>
      <c r="P229" s="94">
        <f t="shared" si="65"/>
        <v>0</v>
      </c>
      <c r="Q229" s="180">
        <f t="shared" si="76"/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 t="shared" si="77"/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 t="shared" si="78"/>
        <v>0</v>
      </c>
      <c r="Z229">
        <f t="shared" si="66"/>
        <v>0</v>
      </c>
      <c r="AA229">
        <f t="shared" si="67"/>
        <v>0</v>
      </c>
      <c r="AB229" s="94">
        <f t="shared" si="68"/>
        <v>0</v>
      </c>
      <c r="AC229">
        <f>AB229*D229*10000*VLOOKUP(A229,[1]kcal!$A$2:$C$49,3,FALSE)/1000000000000</f>
        <v>0</v>
      </c>
    </row>
    <row r="230" spans="1:29" x14ac:dyDescent="0.55000000000000004">
      <c r="A230" s="171" t="str">
        <f t="shared" ref="A230:A275" si="79">A182</f>
        <v>Råmælk</v>
      </c>
      <c r="B230" s="171" t="str">
        <f t="shared" ref="B230:B275" si="8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61"/>
        <v>0</v>
      </c>
      <c r="E230" s="171">
        <f t="shared" si="64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204995.62678254952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69"/>
        <v>204995.62678254952</v>
      </c>
      <c r="P230" s="94">
        <f t="shared" si="65"/>
        <v>0</v>
      </c>
      <c r="Q230" s="180">
        <f t="shared" si="70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71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72"/>
        <v>0</v>
      </c>
      <c r="Z230">
        <f t="shared" si="66"/>
        <v>0</v>
      </c>
      <c r="AA230">
        <f t="shared" si="67"/>
        <v>1</v>
      </c>
      <c r="AB230" s="94">
        <f t="shared" si="68"/>
        <v>204995.62678254952</v>
      </c>
      <c r="AC230">
        <f>AB230*D230*10000*VLOOKUP(A230,[1]kcal!$A$2:$C$49,3,FALSE)/1000000000000</f>
        <v>0</v>
      </c>
    </row>
    <row r="231" spans="1:29" x14ac:dyDescent="0.55000000000000004">
      <c r="A231" s="171" t="str">
        <f t="shared" si="79"/>
        <v>Raps</v>
      </c>
      <c r="B231" s="171" t="str">
        <f t="shared" si="8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61"/>
        <v>0</v>
      </c>
      <c r="E231" s="171">
        <f t="shared" si="64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146132.60326580983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146132.60326580983</v>
      </c>
      <c r="O231" s="179">
        <f t="shared" si="69"/>
        <v>0</v>
      </c>
      <c r="P231" s="94">
        <f t="shared" si="65"/>
        <v>0</v>
      </c>
      <c r="Q231" s="180">
        <f t="shared" si="70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71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72"/>
        <v>0</v>
      </c>
      <c r="Z231">
        <f t="shared" si="66"/>
        <v>0</v>
      </c>
      <c r="AA231">
        <f t="shared" si="67"/>
        <v>0</v>
      </c>
      <c r="AB231" s="94">
        <f t="shared" si="68"/>
        <v>146132.60326580983</v>
      </c>
      <c r="AC231">
        <f>AB231*D231*10000*VLOOKUP(A231,[1]kcal!$A$2:$C$49,3,FALSE)/1000000000000</f>
        <v>0</v>
      </c>
    </row>
    <row r="232" spans="1:29" x14ac:dyDescent="0.55000000000000004">
      <c r="A232" s="171" t="str">
        <f t="shared" si="79"/>
        <v>Rapskage</v>
      </c>
      <c r="B232" s="171" t="str">
        <f t="shared" si="8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61"/>
        <v>0</v>
      </c>
      <c r="E232" s="171">
        <f t="shared" si="64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73066.301632904913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17691.388493248127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69"/>
        <v>55374.913139656783</v>
      </c>
      <c r="P232" s="94">
        <f t="shared" si="65"/>
        <v>0</v>
      </c>
      <c r="Q232" s="180">
        <f t="shared" si="70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71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72"/>
        <v>0</v>
      </c>
      <c r="Z232">
        <f t="shared" si="66"/>
        <v>0</v>
      </c>
      <c r="AA232">
        <f t="shared" si="67"/>
        <v>1</v>
      </c>
      <c r="AB232" s="94">
        <f t="shared" si="68"/>
        <v>55374.913139656783</v>
      </c>
      <c r="AC232">
        <f>AB232*D232*10000*VLOOKUP(A232,[1]kcal!$A$2:$C$49,3,FALSE)/1000000000000</f>
        <v>0</v>
      </c>
    </row>
    <row r="233" spans="1:29" x14ac:dyDescent="0.55000000000000004">
      <c r="A233" s="171" t="str">
        <f t="shared" si="79"/>
        <v>Rapsolie</v>
      </c>
      <c r="B233" s="171" t="str">
        <f t="shared" si="8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61"/>
        <v>1</v>
      </c>
      <c r="E233" s="171">
        <f t="shared" si="64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46762.433045059144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46762.433045059144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9"/>
        <v>0</v>
      </c>
      <c r="P233" s="94">
        <f t="shared" si="65"/>
        <v>0</v>
      </c>
      <c r="Q233" s="180">
        <f t="shared" si="70"/>
        <v>46762.433045059144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1.6366851565770699</v>
      </c>
      <c r="T233">
        <f>IFERROR(VLOOKUP(A233,[1]Biogasudbytte!$A$2:$B$18,2,FALSE)*[1]Energiindhold!$C$10,0)*K233*IFERROR(VLOOKUP(A233,Biogasanlæg!$F$3:$G$8,2,FALSE),1)</f>
        <v>0</v>
      </c>
      <c r="U233" s="170">
        <f t="shared" si="71"/>
        <v>1.6366851565770699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72"/>
        <v>0</v>
      </c>
      <c r="Z233">
        <f t="shared" si="66"/>
        <v>0</v>
      </c>
      <c r="AA233">
        <f t="shared" si="67"/>
        <v>0</v>
      </c>
      <c r="AB233" s="94">
        <f t="shared" si="68"/>
        <v>46762.433045059144</v>
      </c>
      <c r="AC233">
        <f>AB233*D233*10000*VLOOKUP(A233,[1]kcal!$A$2:$C$49,3,FALSE)/1000000000000</f>
        <v>0.42086189740553231</v>
      </c>
    </row>
    <row r="234" spans="1:29" x14ac:dyDescent="0.55000000000000004">
      <c r="A234" s="171" t="str">
        <f t="shared" si="79"/>
        <v>Roer</v>
      </c>
      <c r="B234" s="171" t="str">
        <f t="shared" si="8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61"/>
        <v>1</v>
      </c>
      <c r="E234" s="171">
        <f t="shared" si="64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560569.78346049855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69507.170691045991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69"/>
        <v>491062.61276945256</v>
      </c>
      <c r="P234" s="94">
        <f t="shared" si="65"/>
        <v>491062.61276945256</v>
      </c>
      <c r="Q234" s="180">
        <f t="shared" si="70"/>
        <v>0</v>
      </c>
      <c r="R234">
        <f>IFERROR(VLOOKUP(A234,[1]Energiindhold!$A$2:$C$11,3,FALSE),IFERROR(VLOOKUP(A234,[1]Biogasudbytte!$A$2:$B$18,2,FALSE)*[1]Energiindhold!$C$10,0))*P234</f>
        <v>1.332763573560805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1.332763573560805</v>
      </c>
      <c r="T234">
        <f>IFERROR(VLOOKUP(A234,[1]Biogasudbytte!$A$2:$B$18,2,FALSE)*[1]Energiindhold!$C$10,0)*K234*IFERROR(VLOOKUP(A234,Biogasanlæg!$F$3:$G$8,2,FALSE),1)</f>
        <v>0</v>
      </c>
      <c r="U234" s="170">
        <f t="shared" si="71"/>
        <v>1.332763573560805</v>
      </c>
      <c r="V234" s="169">
        <f>P234*IFERROR(VLOOKUP(A234,[1]Tørstofindhold!A$2:B$24,2,FALSE),0)</f>
        <v>98212.522553890522</v>
      </c>
      <c r="W234">
        <f>IF(E234=År1,Q234,SUM(P234,Q234))*IFERROR(VLOOKUP(A234,[1]Tørstofindhold!A$2:B$24,2,FALSE),0)</f>
        <v>98212.522553890522</v>
      </c>
      <c r="X234">
        <f>K234*IFERROR(VLOOKUP(A234,[1]Tørstofindhold!A$2:B$24,2,FALSE),0)</f>
        <v>0</v>
      </c>
      <c r="Y234" s="170">
        <f t="shared" si="72"/>
        <v>98212.522553890522</v>
      </c>
      <c r="Z234">
        <f t="shared" si="66"/>
        <v>0</v>
      </c>
      <c r="AA234">
        <f t="shared" si="67"/>
        <v>1</v>
      </c>
      <c r="AB234" s="94">
        <f t="shared" si="68"/>
        <v>491062.61276945256</v>
      </c>
      <c r="AC234">
        <f>AB234*D234*10000*VLOOKUP(A234,[1]kcal!$A$2:$C$49,3,FALSE)/1000000000000</f>
        <v>0.1473187838308358</v>
      </c>
    </row>
    <row r="235" spans="1:29" x14ac:dyDescent="0.55000000000000004">
      <c r="A235" s="171" t="str">
        <f t="shared" si="79"/>
        <v>Slagteriaffald til andet</v>
      </c>
      <c r="B235" s="171" t="str">
        <f t="shared" si="8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61"/>
        <v>0</v>
      </c>
      <c r="E235" s="171">
        <f t="shared" si="64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11804.917672589359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69"/>
        <v>11804.917672589359</v>
      </c>
      <c r="P235" s="94">
        <f t="shared" si="65"/>
        <v>0</v>
      </c>
      <c r="Q235" s="180">
        <f t="shared" si="70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71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72"/>
        <v>0</v>
      </c>
      <c r="Z235">
        <f t="shared" si="66"/>
        <v>0</v>
      </c>
      <c r="AA235">
        <f t="shared" si="67"/>
        <v>1</v>
      </c>
      <c r="AB235" s="94">
        <f t="shared" si="68"/>
        <v>11804.917672589359</v>
      </c>
      <c r="AC235">
        <f>AB235*D235*10000*VLOOKUP(A235,[1]kcal!$A$2:$C$49,3,FALSE)/1000000000000</f>
        <v>0</v>
      </c>
    </row>
    <row r="236" spans="1:29" x14ac:dyDescent="0.55000000000000004">
      <c r="A236" s="171" t="str">
        <f t="shared" si="79"/>
        <v>Slagteriaffald til foder</v>
      </c>
      <c r="B236" s="171" t="str">
        <f t="shared" si="8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61"/>
        <v>0</v>
      </c>
      <c r="E236" s="171">
        <f t="shared" si="64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9557.2932196157453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3256.9920238615805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69"/>
        <v>6300.3011957541648</v>
      </c>
      <c r="P236" s="94">
        <f t="shared" si="65"/>
        <v>0</v>
      </c>
      <c r="Q236" s="180">
        <f t="shared" si="70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71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72"/>
        <v>0</v>
      </c>
      <c r="Z236">
        <f t="shared" si="66"/>
        <v>0</v>
      </c>
      <c r="AA236">
        <f t="shared" si="67"/>
        <v>1</v>
      </c>
      <c r="AB236" s="94">
        <f t="shared" si="68"/>
        <v>6300.3011957541648</v>
      </c>
      <c r="AC236">
        <f>AB236*D236*10000*VLOOKUP(A236,[1]kcal!$A$2:$C$49,3,FALSE)/1000000000000</f>
        <v>0</v>
      </c>
    </row>
    <row r="237" spans="1:29" x14ac:dyDescent="0.55000000000000004">
      <c r="A237" s="171" t="str">
        <f t="shared" si="79"/>
        <v>Spildevandsslam</v>
      </c>
      <c r="B237" s="171" t="str">
        <f t="shared" si="8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61"/>
        <v>0</v>
      </c>
      <c r="E237" s="171">
        <f t="shared" si="64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3340524.9539653622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2505393.7154740216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69"/>
        <v>835131.23849134054</v>
      </c>
      <c r="P237" s="94">
        <f t="shared" si="65"/>
        <v>835131.23849134054</v>
      </c>
      <c r="Q237" s="180">
        <f t="shared" si="70"/>
        <v>2505393.7154740216</v>
      </c>
      <c r="R237">
        <f>IFERROR(VLOOKUP(A237,[1]Energiindhold!$A$2:$C$11,3,FALSE),IFERROR(VLOOKUP(A237,[1]Biogasudbytte!$A$2:$B$18,2,FALSE)*[1]Energiindhold!$C$10,0))*P237</f>
        <v>0.4167388393195639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1.6669553572782556</v>
      </c>
      <c r="T237">
        <f>IFERROR(VLOOKUP(A237,[1]Biogasudbytte!$A$2:$B$18,2,FALSE)*[1]Energiindhold!$C$10,0)*K237*IFERROR(VLOOKUP(A237,Biogasanlæg!$F$3:$G$8,2,FALSE),1)</f>
        <v>1.2502165179586917</v>
      </c>
      <c r="U237" s="170">
        <f t="shared" si="71"/>
        <v>0.4167388393195639</v>
      </c>
      <c r="V237" s="169">
        <f>P237*IFERROR(VLOOKUP(A237,[1]Tørstofindhold!A$2:B$24,2,FALSE),0)</f>
        <v>50107.87430948043</v>
      </c>
      <c r="W237">
        <f>IF(E237=År1,Q237,SUM(P237,Q237))*IFERROR(VLOOKUP(A237,[1]Tørstofindhold!A$2:B$24,2,FALSE),0)</f>
        <v>200431.49723792172</v>
      </c>
      <c r="X237">
        <f>K237*IFERROR(VLOOKUP(A237,[1]Tørstofindhold!A$2:B$24,2,FALSE),0)</f>
        <v>150323.6229284413</v>
      </c>
      <c r="Y237" s="170">
        <f t="shared" si="72"/>
        <v>50107.874309480423</v>
      </c>
      <c r="Z237">
        <f t="shared" si="66"/>
        <v>0</v>
      </c>
      <c r="AA237">
        <f t="shared" si="67"/>
        <v>1</v>
      </c>
      <c r="AB237" s="94">
        <f t="shared" si="68"/>
        <v>835131.23849134054</v>
      </c>
      <c r="AC237">
        <f>AB237*D237*10000*VLOOKUP(A237,[1]kcal!$A$2:$C$49,3,FALSE)/1000000000000</f>
        <v>0</v>
      </c>
    </row>
    <row r="238" spans="1:29" x14ac:dyDescent="0.55000000000000004">
      <c r="A238" s="171" t="str">
        <f t="shared" si="79"/>
        <v>Svinegylle</v>
      </c>
      <c r="B238" s="171" t="str">
        <f t="shared" si="8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61"/>
        <v>0</v>
      </c>
      <c r="E238" s="171">
        <f t="shared" si="64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964437.67916622036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723328.25937466533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241109.41979155506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9"/>
        <v>0</v>
      </c>
      <c r="P238" s="94">
        <f t="shared" si="65"/>
        <v>0</v>
      </c>
      <c r="Q238" s="180">
        <f t="shared" si="70"/>
        <v>723328.25937466533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0.31160981413860589</v>
      </c>
      <c r="T238">
        <f>IFERROR(VLOOKUP(A238,[1]Biogasudbytte!$A$2:$B$18,2,FALSE)*[1]Energiindhold!$C$10,0)*K238*IFERROR(VLOOKUP(A238,Biogasanlæg!$F$3:$G$8,2,FALSE),1)</f>
        <v>0.31160981413860589</v>
      </c>
      <c r="U238" s="170">
        <f t="shared" si="71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36166.412968733268</v>
      </c>
      <c r="X238">
        <f>K238*IFERROR(VLOOKUP(A238,[1]Tørstofindhold!A$2:B$24,2,FALSE),0)</f>
        <v>36166.412968733268</v>
      </c>
      <c r="Y238" s="170">
        <f t="shared" si="72"/>
        <v>0</v>
      </c>
      <c r="Z238">
        <f t="shared" si="66"/>
        <v>0</v>
      </c>
      <c r="AA238">
        <f t="shared" si="67"/>
        <v>0</v>
      </c>
      <c r="AB238" s="94">
        <f t="shared" si="68"/>
        <v>0</v>
      </c>
      <c r="AC238">
        <f>AB238*D238*10000*VLOOKUP(A238,[1]kcal!$A$2:$C$49,3,FALSE)/1000000000000</f>
        <v>0</v>
      </c>
    </row>
    <row r="239" spans="1:29" x14ac:dyDescent="0.55000000000000004">
      <c r="A239" s="171" t="str">
        <f t="shared" si="79"/>
        <v>Svinekød</v>
      </c>
      <c r="B239" s="171" t="str">
        <f t="shared" si="8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61"/>
        <v>1</v>
      </c>
      <c r="E239" s="171">
        <f t="shared" si="64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104298.25769715841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9"/>
        <v>-1228.1821523895196</v>
      </c>
      <c r="P239" s="94">
        <f t="shared" si="65"/>
        <v>0</v>
      </c>
      <c r="Q239" s="180">
        <f t="shared" si="70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71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72"/>
        <v>0</v>
      </c>
      <c r="Z239">
        <f t="shared" si="66"/>
        <v>0</v>
      </c>
      <c r="AA239">
        <f t="shared" si="67"/>
        <v>1</v>
      </c>
      <c r="AB239" s="94">
        <f t="shared" si="68"/>
        <v>104298.25769715841</v>
      </c>
      <c r="AC239">
        <f>AB239*D239*10000*VLOOKUP(A239,[1]kcal!$A$2:$C$49,3,FALSE)/1000000000000</f>
        <v>0.20338160250945889</v>
      </c>
    </row>
    <row r="240" spans="1:29" x14ac:dyDescent="0.55000000000000004">
      <c r="A240" s="171" t="str">
        <f t="shared" si="79"/>
        <v>Tang</v>
      </c>
      <c r="B240" s="171" t="str">
        <f t="shared" si="8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61"/>
        <v>1</v>
      </c>
      <c r="E240" s="171">
        <f t="shared" si="64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69"/>
        <v>0</v>
      </c>
      <c r="P240" s="94">
        <f t="shared" si="65"/>
        <v>0</v>
      </c>
      <c r="Q240" s="180">
        <f t="shared" si="70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71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72"/>
        <v>0</v>
      </c>
      <c r="Z240">
        <f t="shared" si="66"/>
        <v>0</v>
      </c>
      <c r="AA240">
        <f t="shared" si="67"/>
        <v>1</v>
      </c>
      <c r="AB240" s="94">
        <f t="shared" si="68"/>
        <v>0</v>
      </c>
      <c r="AC240">
        <f>AB240*D240*10000*VLOOKUP(A240,[1]kcal!$A$2:$C$49,3,FALSE)/1000000000000</f>
        <v>0</v>
      </c>
    </row>
    <row r="241" spans="1:29" x14ac:dyDescent="0.55000000000000004">
      <c r="A241" s="171" t="str">
        <f t="shared" si="79"/>
        <v>Total til biogas</v>
      </c>
      <c r="B241" s="171" t="str">
        <f t="shared" si="8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61"/>
        <v>0</v>
      </c>
      <c r="E241" s="171">
        <f t="shared" si="64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9"/>
        <v>0</v>
      </c>
      <c r="P241" s="94">
        <f t="shared" si="65"/>
        <v>0</v>
      </c>
      <c r="Q241" s="180">
        <f t="shared" si="70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71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72"/>
        <v>0</v>
      </c>
      <c r="Z241">
        <f t="shared" si="66"/>
        <v>0</v>
      </c>
      <c r="AA241">
        <f t="shared" si="67"/>
        <v>0</v>
      </c>
      <c r="AB241" s="94">
        <f t="shared" si="68"/>
        <v>0</v>
      </c>
      <c r="AC241">
        <f>AB241*D241*10000*VLOOKUP(A241,[1]kcal!$A$2:$C$49,3,FALSE)/1000000000000</f>
        <v>0</v>
      </c>
    </row>
    <row r="242" spans="1:29" x14ac:dyDescent="0.55000000000000004">
      <c r="A242" s="171" t="str">
        <f t="shared" si="79"/>
        <v>Træ til energi</v>
      </c>
      <c r="B242" s="171" t="str">
        <f t="shared" si="8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61"/>
        <v>0</v>
      </c>
      <c r="E242" s="171">
        <f t="shared" si="64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648970.86702196393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648970.86702196393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69"/>
        <v>0</v>
      </c>
      <c r="P242" s="94">
        <f t="shared" ca="1" si="65"/>
        <v>0</v>
      </c>
      <c r="Q242" s="180">
        <f t="shared" ca="1" si="70"/>
        <v>648970.86702196393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9.4059039757787311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71"/>
        <v>9.4059039757787311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320970.17464794632</v>
      </c>
      <c r="X242">
        <f>K242*IFERROR(VLOOKUP(A242,[1]Tørstofindhold!A$2:B$24,2,FALSE),0)</f>
        <v>0</v>
      </c>
      <c r="Y242" s="170">
        <f t="shared" ca="1" si="72"/>
        <v>320970.17464794632</v>
      </c>
      <c r="Z242">
        <f t="shared" ca="1" si="66"/>
        <v>0</v>
      </c>
      <c r="AA242">
        <f t="shared" ca="1" si="67"/>
        <v>0</v>
      </c>
      <c r="AB242" s="94">
        <f t="shared" ca="1" si="68"/>
        <v>648970.86702196393</v>
      </c>
      <c r="AC242">
        <f ca="1">AB242*D242*10000*VLOOKUP(A242,[1]kcal!$A$2:$C$49,3,FALSE)/1000000000000</f>
        <v>0</v>
      </c>
    </row>
    <row r="243" spans="1:29" x14ac:dyDescent="0.55000000000000004">
      <c r="A243" s="171" t="str">
        <f t="shared" si="79"/>
        <v>Træmaterialer</v>
      </c>
      <c r="B243" s="171" t="str">
        <f t="shared" si="8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61"/>
        <v>0</v>
      </c>
      <c r="E243" s="171">
        <f t="shared" si="64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178680.65524972283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178680.65524972283</v>
      </c>
      <c r="O243" s="179">
        <f t="shared" ca="1" si="69"/>
        <v>0</v>
      </c>
      <c r="P243" s="94">
        <f t="shared" si="65"/>
        <v>0</v>
      </c>
      <c r="Q243" s="180">
        <f t="shared" si="70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71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72"/>
        <v>0</v>
      </c>
      <c r="Z243">
        <f t="shared" ca="1" si="66"/>
        <v>0</v>
      </c>
      <c r="AA243">
        <f t="shared" ca="1" si="67"/>
        <v>0</v>
      </c>
      <c r="AB243" s="94">
        <f t="shared" ca="1" si="68"/>
        <v>178680.65524972283</v>
      </c>
      <c r="AC243">
        <f ca="1">AB243*D243*10000*VLOOKUP(A243,[1]kcal!$A$2:$C$49,3,FALSE)/1000000000000</f>
        <v>0</v>
      </c>
    </row>
    <row r="244" spans="1:29" x14ac:dyDescent="0.55000000000000004">
      <c r="A244" s="171" t="str">
        <f t="shared" si="79"/>
        <v>Æg</v>
      </c>
      <c r="B244" s="171" t="str">
        <f t="shared" si="8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61"/>
        <v>1</v>
      </c>
      <c r="E244" s="171">
        <f t="shared" ref="E244:E282" si="8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3268.9483710154163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69"/>
        <v>-26263.053649086538</v>
      </c>
      <c r="P244" s="94">
        <f t="shared" si="65"/>
        <v>0</v>
      </c>
      <c r="Q244" s="180">
        <f t="shared" si="70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71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72"/>
        <v>0</v>
      </c>
      <c r="Z244">
        <f t="shared" si="66"/>
        <v>1</v>
      </c>
      <c r="AA244">
        <f t="shared" si="67"/>
        <v>0</v>
      </c>
      <c r="AB244" s="94">
        <f t="shared" si="68"/>
        <v>3268.9483710154163</v>
      </c>
      <c r="AC244">
        <f>AB244*D244*10000*VLOOKUP(A244,[1]kcal!$A$2:$C$49,3,FALSE)/1000000000000</f>
        <v>4.511148752001275E-3</v>
      </c>
    </row>
    <row r="245" spans="1:29" x14ac:dyDescent="0.55000000000000004">
      <c r="A245" s="171" t="str">
        <f t="shared" si="79"/>
        <v>Bælgsæd</v>
      </c>
      <c r="B245" s="171" t="str">
        <f t="shared" si="8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82">D197</f>
        <v>1</v>
      </c>
      <c r="E245" s="171">
        <f t="shared" si="8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457930.53874458285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625.99887183421856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69"/>
        <v>457304.53987274866</v>
      </c>
      <c r="P245" s="94">
        <f t="shared" si="65"/>
        <v>0</v>
      </c>
      <c r="Q245" s="180">
        <f t="shared" si="70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71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72"/>
        <v>0</v>
      </c>
      <c r="Z245">
        <f t="shared" si="66"/>
        <v>0</v>
      </c>
      <c r="AA245">
        <f t="shared" si="67"/>
        <v>1</v>
      </c>
      <c r="AB245" s="94">
        <f t="shared" si="68"/>
        <v>457304.53987274866</v>
      </c>
      <c r="AC245">
        <f>AB245*D245*10000*VLOOKUP(A245,[1]kcal!$A$2:$C$49,3,FALSE)/1000000000000</f>
        <v>3.1759800294162392</v>
      </c>
    </row>
    <row r="246" spans="1:29" x14ac:dyDescent="0.55000000000000004">
      <c r="A246" s="171" t="str">
        <f t="shared" si="79"/>
        <v>Bioaffald</v>
      </c>
      <c r="B246" s="171" t="str">
        <f t="shared" si="8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82"/>
        <v>0</v>
      </c>
      <c r="E246" s="171">
        <f t="shared" si="8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69"/>
        <v>0</v>
      </c>
      <c r="P246" s="94">
        <f t="shared" ca="1" si="65"/>
        <v>0</v>
      </c>
      <c r="Q246" s="180">
        <f t="shared" ca="1" si="70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71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72"/>
        <v>48241.9504867301</v>
      </c>
      <c r="Z246">
        <f t="shared" ca="1" si="66"/>
        <v>0</v>
      </c>
      <c r="AA246">
        <f t="shared" ca="1" si="67"/>
        <v>0</v>
      </c>
      <c r="AB246" s="94">
        <f t="shared" ca="1" si="68"/>
        <v>172292.68030975034</v>
      </c>
      <c r="AC246">
        <f ca="1">AB246*D246*10000*VLOOKUP(A246,[1]kcal!$A$2:$C$49,3,FALSE)/1000000000000</f>
        <v>0</v>
      </c>
    </row>
    <row r="247" spans="1:29" x14ac:dyDescent="0.55000000000000004">
      <c r="A247" s="171" t="str">
        <f t="shared" si="79"/>
        <v>Biogas</v>
      </c>
      <c r="B247" s="171" t="str">
        <f t="shared" si="8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82"/>
        <v>0</v>
      </c>
      <c r="E247" s="171">
        <f t="shared" si="8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81094605.554408431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81094605.554408431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69"/>
        <v>0</v>
      </c>
      <c r="P247" s="94">
        <f t="shared" ca="1" si="65"/>
        <v>0</v>
      </c>
      <c r="Q247" s="180">
        <f t="shared" ca="1" si="70"/>
        <v>81094605.554408431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71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72"/>
        <v>0</v>
      </c>
      <c r="Z247">
        <f t="shared" ca="1" si="66"/>
        <v>0</v>
      </c>
      <c r="AA247">
        <f t="shared" ca="1" si="67"/>
        <v>0</v>
      </c>
      <c r="AB247" s="94">
        <f t="shared" ca="1" si="68"/>
        <v>81094605.554408431</v>
      </c>
      <c r="AC247">
        <f ca="1">AB247*D247*10000*VLOOKUP(A247,[1]kcal!$A$2:$C$49,3,FALSE)/1000000000000</f>
        <v>0</v>
      </c>
    </row>
    <row r="248" spans="1:29" x14ac:dyDescent="0.55000000000000004">
      <c r="A248" s="171" t="str">
        <f t="shared" si="79"/>
        <v>Biogasgylle</v>
      </c>
      <c r="B248" s="171" t="str">
        <f t="shared" si="8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82"/>
        <v>0</v>
      </c>
      <c r="E248" s="171">
        <f t="shared" si="8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3428084.2294498845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347663.70899388671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69"/>
        <v>3080420.5204559979</v>
      </c>
      <c r="P248" s="94">
        <f t="shared" si="65"/>
        <v>0</v>
      </c>
      <c r="Q248" s="180">
        <f t="shared" si="70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71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72"/>
        <v>0</v>
      </c>
      <c r="Z248">
        <f t="shared" ca="1" si="66"/>
        <v>0</v>
      </c>
      <c r="AA248">
        <f t="shared" ca="1" si="67"/>
        <v>1</v>
      </c>
      <c r="AB248" s="94">
        <f t="shared" ca="1" si="68"/>
        <v>3080420.5204559979</v>
      </c>
      <c r="AC248">
        <f ca="1">AB248*D248*10000*VLOOKUP(A248,[1]kcal!$A$2:$C$49,3,FALSE)/1000000000000</f>
        <v>0</v>
      </c>
    </row>
    <row r="249" spans="1:29" x14ac:dyDescent="0.55000000000000004">
      <c r="A249" s="171" t="str">
        <f t="shared" si="79"/>
        <v>Brun saft</v>
      </c>
      <c r="B249" s="171" t="str">
        <f t="shared" si="8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82"/>
        <v>0</v>
      </c>
      <c r="E249" s="171">
        <f t="shared" si="8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0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0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69"/>
        <v>0</v>
      </c>
      <c r="P249" s="94">
        <f t="shared" si="65"/>
        <v>0</v>
      </c>
      <c r="Q249" s="180">
        <f t="shared" si="70"/>
        <v>0</v>
      </c>
      <c r="R249">
        <f>IFERROR(VLOOKUP(A249,[1]Energiindhold!$A$2:$C$11,3,FALSE),IFERROR(VLOOKUP(A249,[1]Biogasudbytte!$A$2:$B$18,2,FALSE)*[1]Energiindhold!$C$10,0))*P249</f>
        <v>0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</v>
      </c>
      <c r="T249">
        <f>IFERROR(VLOOKUP(A249,[1]Biogasudbytte!$A$2:$B$18,2,FALSE)*[1]Energiindhold!$C$10,0)*K249*IFERROR(VLOOKUP(A249,Biogasanlæg!$F$3:$G$8,2,FALSE),1)</f>
        <v>0</v>
      </c>
      <c r="U249" s="170">
        <f t="shared" si="71"/>
        <v>0</v>
      </c>
      <c r="V249" s="169">
        <f>P249*IFERROR(VLOOKUP(A249,[1]Tørstofindhold!A$2:B$24,2,FALSE),0)</f>
        <v>0</v>
      </c>
      <c r="W249">
        <f>IF(E249=År1,Q249,SUM(P249,Q249))*IFERROR(VLOOKUP(A249,[1]Tørstofindhold!A$2:B$24,2,FALSE),0)</f>
        <v>0</v>
      </c>
      <c r="X249">
        <f>K249*IFERROR(VLOOKUP(A249,[1]Tørstofindhold!A$2:B$24,2,FALSE),0)</f>
        <v>0</v>
      </c>
      <c r="Y249" s="170">
        <f t="shared" si="72"/>
        <v>0</v>
      </c>
      <c r="Z249">
        <f t="shared" si="66"/>
        <v>0</v>
      </c>
      <c r="AA249">
        <f t="shared" si="67"/>
        <v>0</v>
      </c>
      <c r="AB249" s="94">
        <f t="shared" si="68"/>
        <v>0</v>
      </c>
      <c r="AC249">
        <f>AB249*D249*10000*VLOOKUP(A249,[1]kcal!$A$2:$C$49,3,FALSE)/1000000000000</f>
        <v>0</v>
      </c>
    </row>
    <row r="250" spans="1:29" x14ac:dyDescent="0.55000000000000004">
      <c r="A250" s="171" t="str">
        <f t="shared" si="79"/>
        <v>Dybstrøelse</v>
      </c>
      <c r="B250" s="171" t="str">
        <f t="shared" si="8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82"/>
        <v>0</v>
      </c>
      <c r="E250" s="171">
        <f t="shared" si="8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55702.787923842719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50132.50913145845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2108.7483999740452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69"/>
        <v>3461.5303924102263</v>
      </c>
      <c r="P250" s="94">
        <f t="shared" si="65"/>
        <v>3461.5303924102263</v>
      </c>
      <c r="Q250" s="180">
        <f t="shared" si="70"/>
        <v>50132.50913145845</v>
      </c>
      <c r="R250">
        <f>IFERROR(VLOOKUP(A250,[1]Energiindhold!$A$2:$C$11,3,FALSE),IFERROR(VLOOKUP(A250,[1]Biogasudbytte!$A$2:$B$18,2,FALSE)*[1]Energiindhold!$C$10,0))*P250</f>
        <v>7.4561364652516275E-3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0.11544156113441313</v>
      </c>
      <c r="T250">
        <f>IFERROR(VLOOKUP(A250,[1]Biogasudbytte!$A$2:$B$18,2,FALSE)*[1]Energiindhold!$C$10,0)*K250*IFERROR(VLOOKUP(A250,Biogasanlæg!$F$3:$G$8,2,FALSE),1)</f>
        <v>0.1079854246691615</v>
      </c>
      <c r="U250" s="170">
        <f t="shared" si="71"/>
        <v>7.456136465251631E-3</v>
      </c>
      <c r="V250" s="169">
        <f>P250*IFERROR(VLOOKUP(A250,[1]Tørstofindhold!A$2:B$24,2,FALSE),0)</f>
        <v>1038.4591177230679</v>
      </c>
      <c r="W250">
        <f>IF(E250=År1,Q250,SUM(P250,Q250))*IFERROR(VLOOKUP(A250,[1]Tørstofindhold!A$2:B$24,2,FALSE),0)</f>
        <v>16078.211857160602</v>
      </c>
      <c r="X250">
        <f>K250*IFERROR(VLOOKUP(A250,[1]Tørstofindhold!A$2:B$24,2,FALSE),0)</f>
        <v>15039.752739437534</v>
      </c>
      <c r="Y250" s="170">
        <f t="shared" si="72"/>
        <v>1038.4591177230686</v>
      </c>
      <c r="Z250">
        <f t="shared" si="66"/>
        <v>0</v>
      </c>
      <c r="AA250">
        <f t="shared" si="67"/>
        <v>1</v>
      </c>
      <c r="AB250" s="94">
        <f t="shared" si="68"/>
        <v>3461.5303924102263</v>
      </c>
      <c r="AC250">
        <f>AB250*D250*10000*VLOOKUP(A250,[1]kcal!$A$2:$C$49,3,FALSE)/1000000000000</f>
        <v>0</v>
      </c>
    </row>
    <row r="251" spans="1:29" x14ac:dyDescent="0.55000000000000004">
      <c r="A251" s="171" t="str">
        <f t="shared" si="79"/>
        <v>Fiberfraktion</v>
      </c>
      <c r="B251" s="171" t="str">
        <f t="shared" si="8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82"/>
        <v>0</v>
      </c>
      <c r="E251" s="171">
        <f t="shared" si="8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0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0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69"/>
        <v>0</v>
      </c>
      <c r="P251" s="94">
        <f t="shared" si="65"/>
        <v>0</v>
      </c>
      <c r="Q251" s="180">
        <f t="shared" si="70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71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72"/>
        <v>0</v>
      </c>
      <c r="Z251">
        <f t="shared" si="66"/>
        <v>0</v>
      </c>
      <c r="AA251">
        <f t="shared" si="67"/>
        <v>0</v>
      </c>
      <c r="AB251" s="94">
        <f t="shared" si="68"/>
        <v>0</v>
      </c>
      <c r="AC251">
        <f>AB251*D251*10000*VLOOKUP(A251,[1]kcal!$A$2:$C$49,3,FALSE)/1000000000000</f>
        <v>0</v>
      </c>
    </row>
    <row r="252" spans="1:29" x14ac:dyDescent="0.55000000000000004">
      <c r="A252" s="171" t="str">
        <f t="shared" si="79"/>
        <v>Fjerkrægylle</v>
      </c>
      <c r="B252" s="171" t="str">
        <f t="shared" si="8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82"/>
        <v>0</v>
      </c>
      <c r="E252" s="171">
        <f t="shared" si="8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471.55151143904124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424.39636029513713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47.155151143904114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69"/>
        <v>0</v>
      </c>
      <c r="P252" s="94">
        <f t="shared" si="65"/>
        <v>0</v>
      </c>
      <c r="Q252" s="180">
        <f t="shared" si="70"/>
        <v>424.39636029513713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1.9958936428320006E-4</v>
      </c>
      <c r="T252">
        <f>IFERROR(VLOOKUP(A252,[1]Biogasudbytte!$A$2:$B$18,2,FALSE)*[1]Energiindhold!$C$10,0)*K252*IFERROR(VLOOKUP(A252,Biogasanlæg!$F$3:$G$8,2,FALSE),1)</f>
        <v>1.9958936428320006E-4</v>
      </c>
      <c r="U252" s="170">
        <f t="shared" si="71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26.736970698593641</v>
      </c>
      <c r="X252">
        <f>K252*IFERROR(VLOOKUP(A252,[1]Tørstofindhold!A$2:B$24,2,FALSE),0)</f>
        <v>26.736970698593641</v>
      </c>
      <c r="Y252" s="170">
        <f t="shared" si="72"/>
        <v>0</v>
      </c>
      <c r="Z252">
        <f t="shared" si="66"/>
        <v>0</v>
      </c>
      <c r="AA252">
        <f t="shared" si="67"/>
        <v>0</v>
      </c>
      <c r="AB252" s="94">
        <f t="shared" si="68"/>
        <v>0</v>
      </c>
      <c r="AC252">
        <f>AB252*D252*10000*VLOOKUP(A252,[1]kcal!$A$2:$C$49,3,FALSE)/1000000000000</f>
        <v>0</v>
      </c>
    </row>
    <row r="253" spans="1:29" x14ac:dyDescent="0.55000000000000004">
      <c r="A253" s="171" t="str">
        <f t="shared" si="79"/>
        <v>Fjerkrækød</v>
      </c>
      <c r="B253" s="171" t="str">
        <f t="shared" si="8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82"/>
        <v>1</v>
      </c>
      <c r="E253" s="171">
        <f t="shared" si="8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503.71416194271836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69"/>
        <v>-31489.288026501068</v>
      </c>
      <c r="P253" s="94">
        <f t="shared" si="65"/>
        <v>0</v>
      </c>
      <c r="Q253" s="180">
        <f t="shared" si="70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71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72"/>
        <v>0</v>
      </c>
      <c r="Z253">
        <f t="shared" si="66"/>
        <v>1</v>
      </c>
      <c r="AA253">
        <f t="shared" si="67"/>
        <v>0</v>
      </c>
      <c r="AB253" s="94">
        <f t="shared" si="68"/>
        <v>503.71416194271836</v>
      </c>
      <c r="AC253">
        <f>AB253*D253*10000*VLOOKUP(A253,[1]kcal!$A$2:$C$49,3,FALSE)/1000000000000</f>
        <v>7.656455261529319E-4</v>
      </c>
    </row>
    <row r="254" spans="1:29" x14ac:dyDescent="0.55000000000000004">
      <c r="A254" s="171" t="str">
        <f t="shared" si="79"/>
        <v>Frø</v>
      </c>
      <c r="B254" s="171" t="str">
        <f t="shared" si="8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82"/>
        <v>0</v>
      </c>
      <c r="E254" s="171">
        <f t="shared" si="8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2414.435527469192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9"/>
        <v>2414.435527469192</v>
      </c>
      <c r="P254" s="94">
        <f t="shared" si="65"/>
        <v>0</v>
      </c>
      <c r="Q254" s="180">
        <f t="shared" si="70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71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72"/>
        <v>0</v>
      </c>
      <c r="Z254">
        <f t="shared" si="66"/>
        <v>0</v>
      </c>
      <c r="AA254">
        <f t="shared" si="67"/>
        <v>1</v>
      </c>
      <c r="AB254" s="94">
        <f t="shared" si="68"/>
        <v>2414.435527469192</v>
      </c>
      <c r="AC254">
        <f>AB254*D254*10000*VLOOKUP(A254,[1]kcal!$A$2:$C$49,3,FALSE)/1000000000000</f>
        <v>0</v>
      </c>
    </row>
    <row r="255" spans="1:29" x14ac:dyDescent="0.55000000000000004">
      <c r="A255" s="171" t="str">
        <f t="shared" si="79"/>
        <v>Frugt</v>
      </c>
      <c r="B255" s="171" t="str">
        <f t="shared" si="8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82"/>
        <v>1</v>
      </c>
      <c r="E255" s="171">
        <f t="shared" si="8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561970.05809562234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9"/>
        <v>328175.04210314853</v>
      </c>
      <c r="P255" s="94">
        <f t="shared" si="65"/>
        <v>0</v>
      </c>
      <c r="Q255" s="180">
        <f t="shared" si="70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71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72"/>
        <v>0</v>
      </c>
      <c r="Z255">
        <f t="shared" si="66"/>
        <v>0</v>
      </c>
      <c r="AA255">
        <f t="shared" si="67"/>
        <v>1</v>
      </c>
      <c r="AB255" s="94">
        <f t="shared" si="68"/>
        <v>561970.05809562234</v>
      </c>
      <c r="AC255">
        <f>AB255*D255*10000*VLOOKUP(A255,[1]kcal!$A$2:$C$49,3,FALSE)/1000000000000</f>
        <v>0.29222443020972361</v>
      </c>
    </row>
    <row r="256" spans="1:29" x14ac:dyDescent="0.55000000000000004">
      <c r="A256" s="171" t="str">
        <f t="shared" si="79"/>
        <v>Glycerin</v>
      </c>
      <c r="B256" s="171" t="str">
        <f t="shared" si="8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82"/>
        <v>0</v>
      </c>
      <c r="E256" s="171">
        <f t="shared" si="8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9"/>
        <v>-28548.400000000001</v>
      </c>
      <c r="P256" s="94">
        <f t="shared" si="65"/>
        <v>0</v>
      </c>
      <c r="Q256" s="180">
        <f t="shared" si="70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71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72"/>
        <v>0</v>
      </c>
      <c r="Z256">
        <f t="shared" si="66"/>
        <v>1</v>
      </c>
      <c r="AA256">
        <f t="shared" si="67"/>
        <v>0</v>
      </c>
      <c r="AB256" s="94">
        <f t="shared" si="68"/>
        <v>-28548.400000000001</v>
      </c>
      <c r="AC256">
        <f>AB256*D256*10000*VLOOKUP(A256,[1]kcal!$A$2:$C$49,3,FALSE)/1000000000000</f>
        <v>0</v>
      </c>
    </row>
    <row r="257" spans="1:29" x14ac:dyDescent="0.55000000000000004">
      <c r="A257" s="171" t="str">
        <f t="shared" si="79"/>
        <v>Græs</v>
      </c>
      <c r="B257" s="171" t="str">
        <f t="shared" si="8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82"/>
        <v>0</v>
      </c>
      <c r="E257" s="171">
        <f t="shared" si="8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8580695.4718173929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118774.59150176747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0</v>
      </c>
      <c r="O257" s="179">
        <f t="shared" si="69"/>
        <v>8461920.880315626</v>
      </c>
      <c r="P257" s="94">
        <f t="shared" si="65"/>
        <v>8461920.880315626</v>
      </c>
      <c r="Q257" s="180">
        <f t="shared" si="70"/>
        <v>0</v>
      </c>
      <c r="R257">
        <f>IFERROR(VLOOKUP(A257,[1]Energiindhold!$A$2:$C$11,3,FALSE),IFERROR(VLOOKUP(A257,[1]Biogasudbytte!$A$2:$B$18,2,FALSE)*[1]Energiindhold!$C$10,0))*P257</f>
        <v>15.568876679670714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15.568876679670714</v>
      </c>
      <c r="T257">
        <f>IFERROR(VLOOKUP(A257,[1]Biogasudbytte!$A$2:$B$18,2,FALSE)*[1]Energiindhold!$C$10,0)*K257*IFERROR(VLOOKUP(A257,Biogasanlæg!$F$3:$G$8,2,FALSE),1)</f>
        <v>0</v>
      </c>
      <c r="U257" s="170">
        <f t="shared" si="71"/>
        <v>15.568876679670714</v>
      </c>
      <c r="V257" s="169">
        <f>P257*IFERROR(VLOOKUP(A257,[1]Tørstofindhold!A$2:B$24,2,FALSE),0)</f>
        <v>2369337.8464883757</v>
      </c>
      <c r="W257">
        <f>IF(E257=År1,Q257,SUM(P257,Q257))*IFERROR(VLOOKUP(A257,[1]Tørstofindhold!A$2:B$24,2,FALSE),0)</f>
        <v>2369337.8464883757</v>
      </c>
      <c r="X257">
        <f>K257*IFERROR(VLOOKUP(A257,[1]Tørstofindhold!A$2:B$24,2,FALSE),0)</f>
        <v>0</v>
      </c>
      <c r="Y257" s="170">
        <f t="shared" si="72"/>
        <v>2369337.8464883757</v>
      </c>
      <c r="Z257">
        <f t="shared" si="66"/>
        <v>0</v>
      </c>
      <c r="AA257">
        <f t="shared" si="67"/>
        <v>1</v>
      </c>
      <c r="AB257" s="94">
        <f t="shared" si="68"/>
        <v>8461920.880315626</v>
      </c>
      <c r="AC257">
        <f>AB257*D257*10000*VLOOKUP(A257,[1]kcal!$A$2:$C$49,3,FALSE)/1000000000000</f>
        <v>0</v>
      </c>
    </row>
    <row r="258" spans="1:29" x14ac:dyDescent="0.55000000000000004">
      <c r="A258" s="171" t="str">
        <f t="shared" si="79"/>
        <v>Græsprotein</v>
      </c>
      <c r="B258" s="171" t="str">
        <f t="shared" si="8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82"/>
        <v>0</v>
      </c>
      <c r="E258" s="171">
        <f t="shared" si="8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0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0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69"/>
        <v>0</v>
      </c>
      <c r="P258" s="94">
        <f t="shared" si="65"/>
        <v>0</v>
      </c>
      <c r="Q258" s="180">
        <f t="shared" si="70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71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72"/>
        <v>0</v>
      </c>
      <c r="Z258">
        <f t="shared" si="66"/>
        <v>0</v>
      </c>
      <c r="AA258">
        <f t="shared" si="67"/>
        <v>0</v>
      </c>
      <c r="AB258" s="94">
        <f t="shared" si="68"/>
        <v>0</v>
      </c>
      <c r="AC258">
        <f>AB258*D258*10000*VLOOKUP(A258,[1]kcal!$A$2:$C$49,3,FALSE)/1000000000000</f>
        <v>0</v>
      </c>
    </row>
    <row r="259" spans="1:29" x14ac:dyDescent="0.55000000000000004">
      <c r="A259" s="171" t="str">
        <f t="shared" si="79"/>
        <v>Grøntsager</v>
      </c>
      <c r="B259" s="171" t="str">
        <f t="shared" si="8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82"/>
        <v>1</v>
      </c>
      <c r="E259" s="171">
        <f t="shared" si="8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1120623.182681245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9"/>
        <v>875753.66593123297</v>
      </c>
      <c r="P259" s="94">
        <f t="shared" si="65"/>
        <v>0</v>
      </c>
      <c r="Q259" s="180">
        <f t="shared" si="70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71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72"/>
        <v>0</v>
      </c>
      <c r="Z259">
        <f t="shared" si="66"/>
        <v>0</v>
      </c>
      <c r="AA259">
        <f t="shared" si="67"/>
        <v>1</v>
      </c>
      <c r="AB259" s="94">
        <f t="shared" si="68"/>
        <v>1120623.182681245</v>
      </c>
      <c r="AC259">
        <f>AB259*D259*10000*VLOOKUP(A259,[1]kcal!$A$2:$C$49,3,FALSE)/1000000000000</f>
        <v>0.43704304124568555</v>
      </c>
    </row>
    <row r="260" spans="1:29" x14ac:dyDescent="0.55000000000000004">
      <c r="A260" s="171" t="str">
        <f t="shared" si="79"/>
        <v>Halm</v>
      </c>
      <c r="B260" s="171" t="str">
        <f t="shared" si="8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82"/>
        <v>0</v>
      </c>
      <c r="E260" s="171">
        <f t="shared" si="8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347850.99679471884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7503.2920332351478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6747.0089475501663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333600.69581393356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69"/>
        <v>0</v>
      </c>
      <c r="P260" s="94">
        <f t="shared" ref="P260:P275" si="8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70"/>
        <v>333600.69581393356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3.4480321865332897</v>
      </c>
      <c r="T260">
        <f>IFERROR(VLOOKUP(A260,[1]Biogasudbytte!$A$2:$B$18,2,FALSE)*[1]Energiindhold!$C$10,0)*K260*IFERROR(VLOOKUP(A260,Biogasanlæg!$F$3:$G$8,2,FALSE),1)</f>
        <v>0</v>
      </c>
      <c r="U260" s="170">
        <f t="shared" si="71"/>
        <v>3.4480321865332897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283560.59144184354</v>
      </c>
      <c r="X260">
        <f>K260*IFERROR(VLOOKUP(A260,[1]Tørstofindhold!A$2:B$24,2,FALSE),0)</f>
        <v>0</v>
      </c>
      <c r="Y260" s="170">
        <f t="shared" si="72"/>
        <v>283560.59144184354</v>
      </c>
      <c r="Z260">
        <f t="shared" ref="Z260:Z275" si="84">IF(SUMIFS($O$4:$O$291,$A$4:$A$291,A260,$E$4:$E$291,E260)&lt;0,1,0)</f>
        <v>0</v>
      </c>
      <c r="AA260">
        <f t="shared" ref="AA260:AA275" si="85">IF(SUMIFS($O$4:$O$291,$A$4:$A$291,A260,$E$4:$E$291,E260)&gt;0,1,0)</f>
        <v>0</v>
      </c>
      <c r="AB260" s="94">
        <f t="shared" si="68"/>
        <v>333600.6958139335</v>
      </c>
      <c r="AC260">
        <f>AB260*D260*10000*VLOOKUP(A260,[1]kcal!$A$2:$C$49,3,FALSE)/1000000000000</f>
        <v>0</v>
      </c>
    </row>
    <row r="261" spans="1:29" x14ac:dyDescent="0.55000000000000004">
      <c r="A261" s="171" t="str">
        <f t="shared" si="79"/>
        <v>Have/parkaffald</v>
      </c>
      <c r="B261" s="171" t="str">
        <f t="shared" si="8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82"/>
        <v>0</v>
      </c>
      <c r="E261" s="171">
        <f t="shared" si="8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9"/>
        <v>0</v>
      </c>
      <c r="P261" s="94">
        <f t="shared" si="83"/>
        <v>0</v>
      </c>
      <c r="Q261" s="180">
        <f t="shared" si="70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71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72"/>
        <v>392.64506525101024</v>
      </c>
      <c r="Z261">
        <f t="shared" si="84"/>
        <v>0</v>
      </c>
      <c r="AA261">
        <f t="shared" si="85"/>
        <v>0</v>
      </c>
      <c r="AB261" s="94">
        <f t="shared" ref="AB261:AB291" si="86">G261-SUMPRODUCT($H$2:$N$2,H261:N261)</f>
        <v>1308.8168841700535</v>
      </c>
      <c r="AC261">
        <f>AB261*D261*10000*VLOOKUP(A261,[1]kcal!$A$2:$C$49,3,FALSE)/1000000000000</f>
        <v>0</v>
      </c>
    </row>
    <row r="262" spans="1:29" x14ac:dyDescent="0.55000000000000004">
      <c r="A262" s="171" t="str">
        <f t="shared" si="79"/>
        <v>Import af foder</v>
      </c>
      <c r="B262" s="171" t="str">
        <f t="shared" si="8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82"/>
        <v>1</v>
      </c>
      <c r="E262" s="171">
        <f t="shared" si="8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46862.971099811642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69"/>
        <v>-46862.971099811642</v>
      </c>
      <c r="P262" s="94">
        <f t="shared" si="83"/>
        <v>0</v>
      </c>
      <c r="Q262" s="180">
        <f t="shared" si="70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71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72"/>
        <v>0</v>
      </c>
      <c r="Z262">
        <f t="shared" si="84"/>
        <v>1</v>
      </c>
      <c r="AA262">
        <f t="shared" si="85"/>
        <v>0</v>
      </c>
      <c r="AB262" s="94">
        <f t="shared" si="86"/>
        <v>-46862.971099811642</v>
      </c>
      <c r="AC262">
        <f>AB262*D262*10000*VLOOKUP(A262,[1]kcal!$A$2:$C$49,3,FALSE)/1000000000000</f>
        <v>-2.6711893526892634E-2</v>
      </c>
    </row>
    <row r="263" spans="1:29" x14ac:dyDescent="0.55000000000000004">
      <c r="A263" s="171" t="str">
        <f t="shared" si="79"/>
        <v>Industriaffald</v>
      </c>
      <c r="B263" s="171" t="str">
        <f t="shared" si="8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82"/>
        <v>0</v>
      </c>
      <c r="E263" s="171">
        <f t="shared" si="8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168100.3533838705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69"/>
        <v>168100.3533838705</v>
      </c>
      <c r="P263" s="94">
        <f t="shared" si="83"/>
        <v>168100.3533838705</v>
      </c>
      <c r="Q263" s="180">
        <f t="shared" si="70"/>
        <v>0</v>
      </c>
      <c r="R263">
        <f>IFERROR(VLOOKUP(A263,[1]Energiindhold!$A$2:$C$11,3,FALSE),IFERROR(VLOOKUP(A263,[1]Biogasudbytte!$A$2:$B$18,2,FALSE)*[1]Energiindhold!$C$10,0))*P263</f>
        <v>0.72840068425825089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0.72840068425825089</v>
      </c>
      <c r="T263">
        <f>IFERROR(VLOOKUP(A263,[1]Biogasudbytte!$A$2:$B$18,2,FALSE)*[1]Energiindhold!$C$10,0)*K263*IFERROR(VLOOKUP(A263,Biogasanlæg!$F$3:$G$8,2,FALSE),1)</f>
        <v>0</v>
      </c>
      <c r="U263" s="170">
        <f t="shared" si="71"/>
        <v>0.72840068425825089</v>
      </c>
      <c r="V263" s="169">
        <f>P263*IFERROR(VLOOKUP(A263,[1]Tørstofindhold!A$2:B$24,2,FALSE),0)</f>
        <v>70602.148421225604</v>
      </c>
      <c r="W263">
        <f>IF(E263=År1,Q263,SUM(P263,Q263))*IFERROR(VLOOKUP(A263,[1]Tørstofindhold!A$2:B$24,2,FALSE),0)</f>
        <v>70602.148421225604</v>
      </c>
      <c r="X263">
        <f>K263*IFERROR(VLOOKUP(A263,[1]Tørstofindhold!A$2:B$24,2,FALSE),0)</f>
        <v>0</v>
      </c>
      <c r="Y263" s="170">
        <f t="shared" si="72"/>
        <v>70602.148421225604</v>
      </c>
      <c r="Z263">
        <f t="shared" si="84"/>
        <v>0</v>
      </c>
      <c r="AA263">
        <f t="shared" si="85"/>
        <v>1</v>
      </c>
      <c r="AB263" s="94">
        <f t="shared" si="86"/>
        <v>168100.3533838705</v>
      </c>
      <c r="AC263">
        <f>AB263*D263*10000*VLOOKUP(A263,[1]kcal!$A$2:$C$49,3,FALSE)/1000000000000</f>
        <v>0</v>
      </c>
    </row>
    <row r="264" spans="1:29" x14ac:dyDescent="0.55000000000000004">
      <c r="A264" s="171" t="str">
        <f t="shared" si="79"/>
        <v>Juletræer</v>
      </c>
      <c r="B264" s="171" t="str">
        <f t="shared" si="8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82"/>
        <v>0</v>
      </c>
      <c r="E264" s="171">
        <f t="shared" si="8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180250.24074269188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9"/>
        <v>180250.24074269188</v>
      </c>
      <c r="P264" s="94">
        <f t="shared" si="83"/>
        <v>0</v>
      </c>
      <c r="Q264" s="180">
        <f t="shared" si="70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71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72"/>
        <v>0</v>
      </c>
      <c r="Z264">
        <f t="shared" si="84"/>
        <v>0</v>
      </c>
      <c r="AA264">
        <f t="shared" si="85"/>
        <v>1</v>
      </c>
      <c r="AB264" s="94">
        <f t="shared" si="86"/>
        <v>180250.24074269188</v>
      </c>
      <c r="AC264">
        <f>AB264*D264*10000*VLOOKUP(A264,[1]kcal!$A$2:$C$49,3,FALSE)/1000000000000</f>
        <v>0</v>
      </c>
    </row>
    <row r="265" spans="1:29" x14ac:dyDescent="0.55000000000000004">
      <c r="A265" s="171" t="str">
        <f t="shared" si="79"/>
        <v>Kartofler</v>
      </c>
      <c r="B265" s="171" t="str">
        <f t="shared" si="8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82"/>
        <v>1</v>
      </c>
      <c r="E265" s="171">
        <f t="shared" si="8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215.4481017361189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69"/>
        <v>-111760.05955781712</v>
      </c>
      <c r="P265" s="94">
        <f t="shared" si="83"/>
        <v>0</v>
      </c>
      <c r="Q265" s="180">
        <f t="shared" si="70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71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72"/>
        <v>0</v>
      </c>
      <c r="Z265">
        <f t="shared" si="84"/>
        <v>1</v>
      </c>
      <c r="AA265">
        <f t="shared" si="85"/>
        <v>0</v>
      </c>
      <c r="AB265" s="94">
        <f t="shared" si="86"/>
        <v>215.4481017361189</v>
      </c>
      <c r="AC265">
        <f>AB265*D265*10000*VLOOKUP(A265,[1]kcal!$A$2:$C$49,3,FALSE)/1000000000000</f>
        <v>1.6804951935417274E-4</v>
      </c>
    </row>
    <row r="266" spans="1:29" x14ac:dyDescent="0.55000000000000004">
      <c r="A266" s="171" t="str">
        <f t="shared" si="79"/>
        <v>Korn</v>
      </c>
      <c r="B266" s="171" t="str">
        <f t="shared" si="8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82"/>
        <v>1</v>
      </c>
      <c r="E266" s="171">
        <f t="shared" si="8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3503.8972601034743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57061.536053444106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69"/>
        <v>-321806.65714259999</v>
      </c>
      <c r="P266" s="94">
        <f t="shared" si="83"/>
        <v>0</v>
      </c>
      <c r="Q266" s="180">
        <f t="shared" si="70"/>
        <v>0</v>
      </c>
      <c r="R266">
        <f>IFERROR(VLOOKUP(A266,[1]Energiindhold!$A$2:$C$11,3,FALSE),IFERROR(VLOOKUP(A266,[1]Biogasudbytte!$A$2:$B$18,2,FALSE)*[1]Energiindhold!$C$10,0))*P266</f>
        <v>0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0</v>
      </c>
      <c r="T266">
        <f>IFERROR(VLOOKUP(A266,[1]Biogasudbytte!$A$2:$B$18,2,FALSE)*[1]Energiindhold!$C$10,0)*K266*IFERROR(VLOOKUP(A266,Biogasanlæg!$F$3:$G$8,2,FALSE),1)</f>
        <v>0</v>
      </c>
      <c r="U266" s="170">
        <f t="shared" si="71"/>
        <v>0</v>
      </c>
      <c r="V266" s="169">
        <f>P266*IFERROR(VLOOKUP(A266,[1]Tørstofindhold!A$2:B$24,2,FALSE),0)</f>
        <v>0</v>
      </c>
      <c r="W266">
        <f>IF(E266=År1,Q266,SUM(P266,Q266))*IFERROR(VLOOKUP(A266,[1]Tørstofindhold!A$2:B$24,2,FALSE),0)</f>
        <v>0</v>
      </c>
      <c r="X266">
        <f>K266*IFERROR(VLOOKUP(A266,[1]Tørstofindhold!A$2:B$24,2,FALSE),0)</f>
        <v>0</v>
      </c>
      <c r="Y266" s="170">
        <f t="shared" si="72"/>
        <v>0</v>
      </c>
      <c r="Z266">
        <f t="shared" si="84"/>
        <v>1</v>
      </c>
      <c r="AA266">
        <f t="shared" si="85"/>
        <v>0</v>
      </c>
      <c r="AB266" s="94">
        <f t="shared" si="86"/>
        <v>-53557.638793340629</v>
      </c>
      <c r="AC266">
        <f>AB266*D266*10000*VLOOKUP(A266,[1]kcal!$A$2:$C$49,3,FALSE)/1000000000000</f>
        <v>-0.1960209579836267</v>
      </c>
    </row>
    <row r="267" spans="1:29" x14ac:dyDescent="0.55000000000000004">
      <c r="A267" s="171" t="str">
        <f t="shared" si="79"/>
        <v>Kunstgødning</v>
      </c>
      <c r="B267" s="171" t="str">
        <f t="shared" si="8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82"/>
        <v>0</v>
      </c>
      <c r="E267" s="171">
        <f t="shared" si="8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973432.69438373833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69"/>
        <v>-973432.69438373833</v>
      </c>
      <c r="P267" s="94">
        <f t="shared" si="83"/>
        <v>0</v>
      </c>
      <c r="Q267" s="180">
        <f t="shared" si="70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71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72"/>
        <v>0</v>
      </c>
      <c r="Z267">
        <f t="shared" ca="1" si="84"/>
        <v>1</v>
      </c>
      <c r="AA267">
        <f t="shared" ca="1" si="85"/>
        <v>0</v>
      </c>
      <c r="AB267" s="94">
        <f t="shared" ca="1" si="86"/>
        <v>-973432.69438373833</v>
      </c>
      <c r="AC267">
        <f ca="1">AB267*D267*10000*VLOOKUP(A267,[1]kcal!$A$2:$C$49,3,FALSE)/1000000000000</f>
        <v>0</v>
      </c>
    </row>
    <row r="268" spans="1:29" x14ac:dyDescent="0.55000000000000004">
      <c r="A268" s="171" t="str">
        <f t="shared" si="79"/>
        <v>Kvæggylle</v>
      </c>
      <c r="B268" s="171" t="str">
        <f t="shared" si="8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82"/>
        <v>0</v>
      </c>
      <c r="E268" s="171">
        <f t="shared" si="8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55781.658851427252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50203.492966284524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5578.1658851427237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69"/>
        <v>0</v>
      </c>
      <c r="P268" s="94">
        <f t="shared" si="83"/>
        <v>0</v>
      </c>
      <c r="Q268" s="180">
        <f t="shared" si="70"/>
        <v>50203.492966284524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2.5412506104603567E-2</v>
      </c>
      <c r="T268">
        <f>IFERROR(VLOOKUP(A268,[1]Biogasudbytte!$A$2:$B$18,2,FALSE)*[1]Energiindhold!$C$10,0)*K268*IFERROR(VLOOKUP(A268,Biogasanlæg!$F$3:$G$8,2,FALSE),1)</f>
        <v>2.5412506104603567E-2</v>
      </c>
      <c r="U268" s="170">
        <f t="shared" si="71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3815.4654654376236</v>
      </c>
      <c r="X268">
        <f>K268*IFERROR(VLOOKUP(A268,[1]Tørstofindhold!A$2:B$24,2,FALSE),0)</f>
        <v>3815.4654654376236</v>
      </c>
      <c r="Y268" s="170">
        <f t="shared" si="72"/>
        <v>0</v>
      </c>
      <c r="Z268">
        <f t="shared" si="84"/>
        <v>0</v>
      </c>
      <c r="AA268">
        <f t="shared" si="85"/>
        <v>0</v>
      </c>
      <c r="AB268" s="94">
        <f t="shared" si="86"/>
        <v>0</v>
      </c>
      <c r="AC268">
        <f>AB268*D268*10000*VLOOKUP(A268,[1]kcal!$A$2:$C$49,3,FALSE)/1000000000000</f>
        <v>0</v>
      </c>
    </row>
    <row r="269" spans="1:29" x14ac:dyDescent="0.55000000000000004">
      <c r="A269" s="171" t="str">
        <f t="shared" si="79"/>
        <v>Mælk til foder</v>
      </c>
      <c r="B269" s="171" t="str">
        <f t="shared" si="8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82"/>
        <v>0</v>
      </c>
      <c r="E269" s="171">
        <f t="shared" si="8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7091.4272335775522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14710.973488104135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69"/>
        <v>-7619.5462545265827</v>
      </c>
      <c r="P269" s="94">
        <f t="shared" si="83"/>
        <v>0</v>
      </c>
      <c r="Q269" s="180">
        <f t="shared" si="70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71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72"/>
        <v>0</v>
      </c>
      <c r="Z269">
        <f t="shared" si="84"/>
        <v>1</v>
      </c>
      <c r="AA269">
        <f t="shared" si="85"/>
        <v>0</v>
      </c>
      <c r="AB269" s="94">
        <f t="shared" si="86"/>
        <v>-7619.5462545265827</v>
      </c>
      <c r="AC269">
        <f>AB269*D269*10000*VLOOKUP(A269,[1]kcal!$A$2:$C$49,3,FALSE)/1000000000000</f>
        <v>0</v>
      </c>
    </row>
    <row r="270" spans="1:29" x14ac:dyDescent="0.55000000000000004">
      <c r="A270" s="171" t="str">
        <f t="shared" si="79"/>
        <v>Majs</v>
      </c>
      <c r="B270" s="171" t="str">
        <f t="shared" si="8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82"/>
        <v>1</v>
      </c>
      <c r="E270" s="171">
        <f t="shared" si="8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705.63788017957472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54905.31771712625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69"/>
        <v>-54199.679836946678</v>
      </c>
      <c r="P270" s="94">
        <f t="shared" si="83"/>
        <v>0</v>
      </c>
      <c r="Q270" s="180">
        <f t="shared" si="70"/>
        <v>0</v>
      </c>
      <c r="R270">
        <f>IFERROR(VLOOKUP(A270,[1]Energiindhold!$A$2:$C$11,3,FALSE),IFERROR(VLOOKUP(A270,[1]Biogasudbytte!$A$2:$B$18,2,FALSE)*[1]Energiindhold!$C$10,0))*P270</f>
        <v>0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</v>
      </c>
      <c r="T270">
        <f>IFERROR(VLOOKUP(A270,[1]Biogasudbytte!$A$2:$B$18,2,FALSE)*[1]Energiindhold!$C$10,0)*K270*IFERROR(VLOOKUP(A270,Biogasanlæg!$F$3:$G$8,2,FALSE),1)</f>
        <v>0</v>
      </c>
      <c r="U270" s="170">
        <f t="shared" si="71"/>
        <v>0</v>
      </c>
      <c r="V270" s="169">
        <f>P270*IFERROR(VLOOKUP(A270,[1]Tørstofindhold!A$2:B$24,2,FALSE),0)</f>
        <v>0</v>
      </c>
      <c r="W270">
        <f>IF(E270=År1,Q270,SUM(P270,Q270))*IFERROR(VLOOKUP(A270,[1]Tørstofindhold!A$2:B$24,2,FALSE),0)</f>
        <v>0</v>
      </c>
      <c r="X270">
        <f>K270*IFERROR(VLOOKUP(A270,[1]Tørstofindhold!A$2:B$24,2,FALSE),0)</f>
        <v>0</v>
      </c>
      <c r="Y270" s="170">
        <f t="shared" si="72"/>
        <v>0</v>
      </c>
      <c r="Z270">
        <f t="shared" si="84"/>
        <v>1</v>
      </c>
      <c r="AA270">
        <f t="shared" si="85"/>
        <v>0</v>
      </c>
      <c r="AB270" s="94">
        <f t="shared" si="86"/>
        <v>-54199.679836946678</v>
      </c>
      <c r="AC270">
        <f>AB270*D270*10000*VLOOKUP(A270,[1]kcal!$A$2:$C$49,3,FALSE)/1000000000000</f>
        <v>-4.9321708651621478E-2</v>
      </c>
    </row>
    <row r="271" spans="1:29" x14ac:dyDescent="0.55000000000000004">
      <c r="A271" s="171" t="str">
        <f t="shared" si="79"/>
        <v>Mejeriprodukter</v>
      </c>
      <c r="B271" s="171" t="str">
        <f t="shared" si="8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82"/>
        <v>1</v>
      </c>
      <c r="E271" s="171">
        <f t="shared" si="8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13682.774185646154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69"/>
        <v>-414531.25510583218</v>
      </c>
      <c r="P271" s="94">
        <f t="shared" si="83"/>
        <v>0</v>
      </c>
      <c r="Q271" s="180">
        <f t="shared" si="70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71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72"/>
        <v>0</v>
      </c>
      <c r="Z271">
        <f t="shared" si="84"/>
        <v>1</v>
      </c>
      <c r="AA271">
        <f t="shared" si="85"/>
        <v>0</v>
      </c>
      <c r="AB271" s="94">
        <f t="shared" si="86"/>
        <v>13682.774185646154</v>
      </c>
      <c r="AC271">
        <f>AB271*D271*10000*VLOOKUP(A271,[1]kcal!$A$2:$C$49,3,FALSE)/1000000000000</f>
        <v>8.6201477369570768E-3</v>
      </c>
    </row>
    <row r="272" spans="1:29" x14ac:dyDescent="0.55000000000000004">
      <c r="A272" s="171" t="str">
        <f t="shared" si="79"/>
        <v>Muslinger</v>
      </c>
      <c r="B272" s="171" t="str">
        <f t="shared" si="8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82"/>
        <v>1</v>
      </c>
      <c r="E272" s="171">
        <f t="shared" si="8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69"/>
        <v>1.1976865502381491</v>
      </c>
      <c r="P272" s="94">
        <f t="shared" si="83"/>
        <v>1.1976865502381491</v>
      </c>
      <c r="Q272" s="180">
        <f t="shared" si="70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71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72"/>
        <v>0.17965298253572234</v>
      </c>
      <c r="Z272">
        <f t="shared" si="84"/>
        <v>0</v>
      </c>
      <c r="AA272">
        <f t="shared" si="85"/>
        <v>1</v>
      </c>
      <c r="AB272" s="94">
        <f t="shared" si="86"/>
        <v>1.1976865502381491</v>
      </c>
      <c r="AC272">
        <f>AB272*D272*10000*VLOOKUP(A272,[1]kcal!$A$2:$C$49,3,FALSE)/1000000000000</f>
        <v>9.9407983669766362E-7</v>
      </c>
    </row>
    <row r="273" spans="1:29" x14ac:dyDescent="0.55000000000000004">
      <c r="A273" s="171" t="str">
        <f t="shared" si="79"/>
        <v>Oksekød</v>
      </c>
      <c r="B273" s="171" t="str">
        <f t="shared" si="8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82"/>
        <v>1</v>
      </c>
      <c r="E273" s="171">
        <f t="shared" si="8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257.33473418730972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69"/>
        <v>-54155.378987850541</v>
      </c>
      <c r="P273" s="94">
        <f t="shared" si="83"/>
        <v>0</v>
      </c>
      <c r="Q273" s="180">
        <f t="shared" si="70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71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72"/>
        <v>0</v>
      </c>
      <c r="Z273">
        <f t="shared" si="84"/>
        <v>1</v>
      </c>
      <c r="AA273">
        <f t="shared" si="85"/>
        <v>0</v>
      </c>
      <c r="AB273" s="94">
        <f t="shared" si="86"/>
        <v>257.33473418730972</v>
      </c>
      <c r="AC273">
        <f>AB273*D273*10000*VLOOKUP(A273,[1]kcal!$A$2:$C$49,3,FALSE)/1000000000000</f>
        <v>5.0180273166525397E-4</v>
      </c>
    </row>
    <row r="274" spans="1:29" x14ac:dyDescent="0.55000000000000004">
      <c r="A274" s="171" t="str">
        <f t="shared" si="79"/>
        <v>Øvrige</v>
      </c>
      <c r="B274" s="171" t="str">
        <f t="shared" si="8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82"/>
        <v>1</v>
      </c>
      <c r="E274" s="171">
        <f t="shared" si="8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693.49185876962724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9"/>
        <v>693.49185876962724</v>
      </c>
      <c r="P274" s="94">
        <f t="shared" si="83"/>
        <v>0</v>
      </c>
      <c r="Q274" s="180">
        <f t="shared" si="70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71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72"/>
        <v>0</v>
      </c>
      <c r="Z274">
        <f t="shared" si="84"/>
        <v>0</v>
      </c>
      <c r="AA274">
        <f t="shared" si="85"/>
        <v>1</v>
      </c>
      <c r="AB274" s="94">
        <f t="shared" si="86"/>
        <v>693.49185876962724</v>
      </c>
      <c r="AC274">
        <f>AB274*D274*10000*VLOOKUP(A274,[1]kcal!$A$2:$C$49,3,FALSE)/1000000000000</f>
        <v>2.7046182492015464E-4</v>
      </c>
    </row>
    <row r="275" spans="1:29" x14ac:dyDescent="0.55000000000000004">
      <c r="A275" s="171" t="str">
        <f t="shared" si="79"/>
        <v>Pil &amp; poppel</v>
      </c>
      <c r="B275" s="171" t="str">
        <f t="shared" si="8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82"/>
        <v>0</v>
      </c>
      <c r="E275" s="171">
        <f t="shared" si="8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34028.264724407527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34028.264724407527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9"/>
        <v>0</v>
      </c>
      <c r="P275" s="94">
        <f t="shared" si="83"/>
        <v>0</v>
      </c>
      <c r="Q275" s="180">
        <f t="shared" si="70"/>
        <v>34028.264724407527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0.62612007092909838</v>
      </c>
      <c r="T275">
        <f>IFERROR(VLOOKUP(A275,[1]Biogasudbytte!$A$2:$B$18,2,FALSE)*[1]Energiindhold!$C$10,0)*K275*IFERROR(VLOOKUP(A275,Biogasanlæg!$F$3:$G$8,2,FALSE),1)</f>
        <v>0</v>
      </c>
      <c r="U275" s="170">
        <f t="shared" si="71"/>
        <v>0.62612007092909838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14121.729860629124</v>
      </c>
      <c r="X275">
        <f>K275*IFERROR(VLOOKUP(A275,[1]Tørstofindhold!A$2:B$24,2,FALSE),0)</f>
        <v>0</v>
      </c>
      <c r="Y275" s="170">
        <f t="shared" si="72"/>
        <v>14121.729860629124</v>
      </c>
      <c r="Z275">
        <f t="shared" si="84"/>
        <v>0</v>
      </c>
      <c r="AA275">
        <f t="shared" si="85"/>
        <v>0</v>
      </c>
      <c r="AB275" s="94">
        <f t="shared" si="86"/>
        <v>34028.264724407527</v>
      </c>
      <c r="AC275">
        <f>AB275*D275*10000*VLOOKUP(A275,[1]kcal!$A$2:$C$49,3,FALSE)/1000000000000</f>
        <v>0</v>
      </c>
    </row>
    <row r="276" spans="1:29" x14ac:dyDescent="0.55000000000000004">
      <c r="A276" s="171" t="str">
        <f t="shared" ref="A276:A277" si="87">A228</f>
        <v>Pyrolysegas</v>
      </c>
      <c r="B276" s="171" t="str">
        <f t="shared" ref="B276:B277" si="88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82"/>
        <v>0</v>
      </c>
      <c r="E276" s="171">
        <f t="shared" si="8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 t="shared" ref="O276:O277" si="89">G276-SUM(H276:N276)</f>
        <v>0</v>
      </c>
      <c r="P276" s="94">
        <f t="shared" ref="P276:P277" si="90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 t="shared" ref="Q276:Q277" si="91"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 t="shared" ref="U276:U277" si="92"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 t="shared" ref="Y276:Y277" si="93">W276-X276</f>
        <v>0</v>
      </c>
      <c r="Z276">
        <f t="shared" ref="Z276:Z277" si="94">IF(SUMIFS($O$4:$O$291,$A$4:$A$291,A276,$E$4:$E$291,E276)&lt;0,1,0)</f>
        <v>0</v>
      </c>
      <c r="AA276">
        <f t="shared" ref="AA276:AA277" si="95">IF(SUMIFS($O$4:$O$291,$A$4:$A$291,A276,$E$4:$E$291,E276)&gt;0,1,0)</f>
        <v>0</v>
      </c>
      <c r="AB276" s="94">
        <f t="shared" si="86"/>
        <v>0</v>
      </c>
      <c r="AC276">
        <f>AB276*D276*10000*VLOOKUP(A276,[1]kcal!$A$2:$C$49,3,FALSE)/1000000000000</f>
        <v>0</v>
      </c>
    </row>
    <row r="277" spans="1:29" x14ac:dyDescent="0.55000000000000004">
      <c r="A277" s="171" t="str">
        <f t="shared" si="87"/>
        <v>Pyrolyseolie</v>
      </c>
      <c r="B277" s="171" t="str">
        <f t="shared" si="88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82"/>
        <v>0</v>
      </c>
      <c r="E277" s="171">
        <f t="shared" si="8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 t="shared" si="89"/>
        <v>0</v>
      </c>
      <c r="P277" s="94">
        <f t="shared" si="90"/>
        <v>0</v>
      </c>
      <c r="Q277" s="180">
        <f t="shared" si="91"/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 t="shared" si="92"/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 t="shared" si="93"/>
        <v>0</v>
      </c>
      <c r="Z277">
        <f t="shared" si="94"/>
        <v>0</v>
      </c>
      <c r="AA277">
        <f t="shared" si="95"/>
        <v>0</v>
      </c>
      <c r="AB277" s="94">
        <f t="shared" si="86"/>
        <v>0</v>
      </c>
      <c r="AC277">
        <f>AB277*D277*10000*VLOOKUP(A277,[1]kcal!$A$2:$C$49,3,FALSE)/1000000000000</f>
        <v>0</v>
      </c>
    </row>
    <row r="278" spans="1:29" x14ac:dyDescent="0.55000000000000004">
      <c r="A278" s="171" t="str">
        <f t="shared" ref="A278:A291" si="96">A230</f>
        <v>Råmælk</v>
      </c>
      <c r="B278" s="171" t="str">
        <f t="shared" ref="B278:B291" si="9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82"/>
        <v>0</v>
      </c>
      <c r="E278" s="171">
        <f t="shared" si="8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21306.873250485853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69"/>
        <v>21306.873250485853</v>
      </c>
      <c r="P278" s="94">
        <f t="shared" ref="P278:P291" si="9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70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71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72"/>
        <v>0</v>
      </c>
      <c r="Z278">
        <f t="shared" ref="Z278:Z291" si="99">IF(SUMIFS($O$4:$O$291,$A$4:$A$291,A278,$E$4:$E$291,E278)&lt;0,1,0)</f>
        <v>0</v>
      </c>
      <c r="AA278">
        <f t="shared" ref="AA278:AA291" si="100">IF(SUMIFS($O$4:$O$291,$A$4:$A$291,A278,$E$4:$E$291,E278)&gt;0,1,0)</f>
        <v>1</v>
      </c>
      <c r="AB278" s="94">
        <f t="shared" si="86"/>
        <v>21306.873250485853</v>
      </c>
      <c r="AC278">
        <f>AB278*D278*10000*VLOOKUP(A278,[1]kcal!$A$2:$C$49,3,FALSE)/1000000000000</f>
        <v>0</v>
      </c>
    </row>
    <row r="279" spans="1:29" x14ac:dyDescent="0.55000000000000004">
      <c r="A279" s="171" t="str">
        <f t="shared" si="96"/>
        <v>Raps</v>
      </c>
      <c r="B279" s="171" t="str">
        <f t="shared" si="9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82"/>
        <v>0</v>
      </c>
      <c r="E279" s="171">
        <f t="shared" si="8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312210.60748691915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312210.60748691915</v>
      </c>
      <c r="O279" s="179">
        <f t="shared" si="69"/>
        <v>0</v>
      </c>
      <c r="P279" s="94">
        <f t="shared" si="98"/>
        <v>0</v>
      </c>
      <c r="Q279" s="180">
        <f t="shared" si="70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71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72"/>
        <v>0</v>
      </c>
      <c r="Z279">
        <f t="shared" si="99"/>
        <v>0</v>
      </c>
      <c r="AA279">
        <f t="shared" si="100"/>
        <v>0</v>
      </c>
      <c r="AB279" s="94">
        <f t="shared" si="86"/>
        <v>312210.60748691915</v>
      </c>
      <c r="AC279">
        <f>AB279*D279*10000*VLOOKUP(A279,[1]kcal!$A$2:$C$49,3,FALSE)/1000000000000</f>
        <v>0</v>
      </c>
    </row>
    <row r="280" spans="1:29" x14ac:dyDescent="0.55000000000000004">
      <c r="A280" s="171" t="str">
        <f t="shared" si="96"/>
        <v>Rapskage</v>
      </c>
      <c r="B280" s="171" t="str">
        <f t="shared" si="9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82"/>
        <v>0</v>
      </c>
      <c r="E280" s="171">
        <f t="shared" si="8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156105.30374345958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2077.9684773385866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69"/>
        <v>154027.33526612099</v>
      </c>
      <c r="P280" s="94">
        <f t="shared" si="98"/>
        <v>0</v>
      </c>
      <c r="Q280" s="180">
        <f t="shared" si="70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71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72"/>
        <v>0</v>
      </c>
      <c r="Z280">
        <f t="shared" si="99"/>
        <v>0</v>
      </c>
      <c r="AA280">
        <f t="shared" si="100"/>
        <v>1</v>
      </c>
      <c r="AB280" s="94">
        <f t="shared" si="86"/>
        <v>154027.33526612099</v>
      </c>
      <c r="AC280">
        <f>AB280*D280*10000*VLOOKUP(A280,[1]kcal!$A$2:$C$49,3,FALSE)/1000000000000</f>
        <v>0</v>
      </c>
    </row>
    <row r="281" spans="1:29" x14ac:dyDescent="0.55000000000000004">
      <c r="A281" s="171" t="str">
        <f t="shared" si="96"/>
        <v>Rapsolie</v>
      </c>
      <c r="B281" s="171" t="str">
        <f t="shared" si="9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82"/>
        <v>1</v>
      </c>
      <c r="E281" s="171">
        <f t="shared" si="8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99907.394395814132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99907.394395814132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9"/>
        <v>0</v>
      </c>
      <c r="P281" s="94">
        <f t="shared" si="98"/>
        <v>0</v>
      </c>
      <c r="Q281" s="180">
        <f t="shared" si="70"/>
        <v>99907.394395814132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3.4967588038534942</v>
      </c>
      <c r="T281">
        <f>IFERROR(VLOOKUP(A281,[1]Biogasudbytte!$A$2:$B$18,2,FALSE)*[1]Energiindhold!$C$10,0)*K281*IFERROR(VLOOKUP(A281,Biogasanlæg!$F$3:$G$8,2,FALSE),1)</f>
        <v>0</v>
      </c>
      <c r="U281" s="170">
        <f t="shared" si="71"/>
        <v>3.4967588038534942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72"/>
        <v>0</v>
      </c>
      <c r="Z281">
        <f t="shared" si="99"/>
        <v>0</v>
      </c>
      <c r="AA281">
        <f t="shared" si="100"/>
        <v>0</v>
      </c>
      <c r="AB281" s="94">
        <f t="shared" si="86"/>
        <v>99907.394395814132</v>
      </c>
      <c r="AC281">
        <f>AB281*D281*10000*VLOOKUP(A281,[1]kcal!$A$2:$C$49,3,FALSE)/1000000000000</f>
        <v>0.89916654956232711</v>
      </c>
    </row>
    <row r="282" spans="1:29" x14ac:dyDescent="0.55000000000000004">
      <c r="A282" s="171" t="str">
        <f t="shared" si="96"/>
        <v>Roer</v>
      </c>
      <c r="B282" s="171" t="str">
        <f t="shared" si="9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82"/>
        <v>1</v>
      </c>
      <c r="E282" s="171">
        <f t="shared" si="8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1151.564385499476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8164.068620171267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69"/>
        <v>-7012.504234671791</v>
      </c>
      <c r="P282" s="94">
        <f t="shared" si="98"/>
        <v>0</v>
      </c>
      <c r="Q282" s="180">
        <f t="shared" si="70"/>
        <v>0</v>
      </c>
      <c r="R282">
        <f>IFERROR(VLOOKUP(A282,[1]Energiindhold!$A$2:$C$11,3,FALSE),IFERROR(VLOOKUP(A282,[1]Biogasudbytte!$A$2:$B$18,2,FALSE)*[1]Energiindhold!$C$10,0))*P282</f>
        <v>0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</v>
      </c>
      <c r="T282">
        <f>IFERROR(VLOOKUP(A282,[1]Biogasudbytte!$A$2:$B$18,2,FALSE)*[1]Energiindhold!$C$10,0)*K282*IFERROR(VLOOKUP(A282,Biogasanlæg!$F$3:$G$8,2,FALSE),1)</f>
        <v>0</v>
      </c>
      <c r="U282" s="170">
        <f t="shared" si="71"/>
        <v>0</v>
      </c>
      <c r="V282" s="169">
        <f>P282*IFERROR(VLOOKUP(A282,[1]Tørstofindhold!A$2:B$24,2,FALSE),0)</f>
        <v>0</v>
      </c>
      <c r="W282">
        <f>IF(E282=År1,Q282,SUM(P282,Q282))*IFERROR(VLOOKUP(A282,[1]Tørstofindhold!A$2:B$24,2,FALSE),0)</f>
        <v>0</v>
      </c>
      <c r="X282">
        <f>K282*IFERROR(VLOOKUP(A282,[1]Tørstofindhold!A$2:B$24,2,FALSE),0)</f>
        <v>0</v>
      </c>
      <c r="Y282" s="170">
        <f t="shared" si="72"/>
        <v>0</v>
      </c>
      <c r="Z282">
        <f t="shared" si="99"/>
        <v>1</v>
      </c>
      <c r="AA282">
        <f t="shared" si="100"/>
        <v>0</v>
      </c>
      <c r="AB282" s="94">
        <f t="shared" si="86"/>
        <v>-7012.504234671791</v>
      </c>
      <c r="AC282">
        <f>AB282*D282*10000*VLOOKUP(A282,[1]kcal!$A$2:$C$49,3,FALSE)/1000000000000</f>
        <v>-2.1037512704015372E-3</v>
      </c>
    </row>
    <row r="283" spans="1:29" x14ac:dyDescent="0.55000000000000004">
      <c r="A283" s="171" t="str">
        <f t="shared" si="96"/>
        <v>Slagteriaffald til andet</v>
      </c>
      <c r="B283" s="171" t="str">
        <f t="shared" si="9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82"/>
        <v>0</v>
      </c>
      <c r="E283" s="171">
        <f t="shared" ref="E283:E291" si="10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588.00501905544718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102">G283-SUM(H283:N283)</f>
        <v>588.00501905544718</v>
      </c>
      <c r="P283" s="94">
        <f t="shared" si="98"/>
        <v>0</v>
      </c>
      <c r="Q283" s="180">
        <f t="shared" ref="Q283:Q291" si="10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10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5">W283-X283</f>
        <v>0</v>
      </c>
      <c r="Z283">
        <f t="shared" si="99"/>
        <v>0</v>
      </c>
      <c r="AA283">
        <f t="shared" si="100"/>
        <v>1</v>
      </c>
      <c r="AB283" s="94">
        <f t="shared" si="86"/>
        <v>588.00501905544718</v>
      </c>
      <c r="AC283">
        <f>AB283*D283*10000*VLOOKUP(A283,[1]kcal!$A$2:$C$49,3,FALSE)/1000000000000</f>
        <v>0</v>
      </c>
    </row>
    <row r="284" spans="1:29" x14ac:dyDescent="0.55000000000000004">
      <c r="A284" s="171" t="str">
        <f t="shared" si="96"/>
        <v>Slagteriaffald til foder</v>
      </c>
      <c r="B284" s="171" t="str">
        <f t="shared" si="9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82"/>
        <v>0</v>
      </c>
      <c r="E284" s="171">
        <f t="shared" si="10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440.79056937463145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382.55486612091136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102"/>
        <v>58.235703253720089</v>
      </c>
      <c r="P284" s="94">
        <f t="shared" si="98"/>
        <v>0</v>
      </c>
      <c r="Q284" s="180">
        <f t="shared" si="10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10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5"/>
        <v>0</v>
      </c>
      <c r="Z284">
        <f t="shared" si="99"/>
        <v>1</v>
      </c>
      <c r="AA284">
        <f t="shared" si="100"/>
        <v>0</v>
      </c>
      <c r="AB284" s="94">
        <f t="shared" si="86"/>
        <v>58.235703253720089</v>
      </c>
      <c r="AC284">
        <f>AB284*D284*10000*VLOOKUP(A284,[1]kcal!$A$2:$C$49,3,FALSE)/1000000000000</f>
        <v>0</v>
      </c>
    </row>
    <row r="285" spans="1:29" x14ac:dyDescent="0.55000000000000004">
      <c r="A285" s="171" t="str">
        <f t="shared" si="96"/>
        <v>Spildevandsslam</v>
      </c>
      <c r="B285" s="171" t="str">
        <f t="shared" si="9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82"/>
        <v>0</v>
      </c>
      <c r="E285" s="171">
        <f t="shared" si="10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3492320.8870792342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3143088.7983713108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102"/>
        <v>349232.08870792342</v>
      </c>
      <c r="P285" s="94">
        <f t="shared" si="98"/>
        <v>349232.08870792342</v>
      </c>
      <c r="Q285" s="180">
        <f t="shared" si="103"/>
        <v>3143088.7983713108</v>
      </c>
      <c r="R285">
        <f>IFERROR(VLOOKUP(A285,[1]Energiindhold!$A$2:$C$11,3,FALSE),IFERROR(VLOOKUP(A285,[1]Biogasudbytte!$A$2:$B$18,2,FALSE)*[1]Energiindhold!$C$10,0))*P285</f>
        <v>0.1742703045861409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1.742703045861409</v>
      </c>
      <c r="T285">
        <f>IFERROR(VLOOKUP(A285,[1]Biogasudbytte!$A$2:$B$18,2,FALSE)*[1]Energiindhold!$C$10,0)*K285*IFERROR(VLOOKUP(A285,Biogasanlæg!$F$3:$G$8,2,FALSE),1)</f>
        <v>1.5684327412752681</v>
      </c>
      <c r="U285" s="170">
        <f t="shared" si="104"/>
        <v>0.1742703045861409</v>
      </c>
      <c r="V285" s="169">
        <f>P285*IFERROR(VLOOKUP(A285,[1]Tørstofindhold!A$2:B$24,2,FALSE),0)</f>
        <v>20953.925322475403</v>
      </c>
      <c r="W285">
        <f>IF(E285=År1,Q285,SUM(P285,Q285))*IFERROR(VLOOKUP(A285,[1]Tørstofindhold!A$2:B$24,2,FALSE),0)</f>
        <v>209539.25322475404</v>
      </c>
      <c r="X285">
        <f>K285*IFERROR(VLOOKUP(A285,[1]Tørstofindhold!A$2:B$24,2,FALSE),0)</f>
        <v>188585.32790227863</v>
      </c>
      <c r="Y285" s="170">
        <f t="shared" si="105"/>
        <v>20953.925322475407</v>
      </c>
      <c r="Z285">
        <f t="shared" si="99"/>
        <v>0</v>
      </c>
      <c r="AA285">
        <f t="shared" si="100"/>
        <v>1</v>
      </c>
      <c r="AB285" s="94">
        <f t="shared" si="86"/>
        <v>349232.08870792342</v>
      </c>
      <c r="AC285">
        <f>AB285*D285*10000*VLOOKUP(A285,[1]kcal!$A$2:$C$49,3,FALSE)/1000000000000</f>
        <v>0</v>
      </c>
    </row>
    <row r="286" spans="1:29" x14ac:dyDescent="0.55000000000000004">
      <c r="A286" s="171" t="str">
        <f t="shared" si="96"/>
        <v>Svinegylle</v>
      </c>
      <c r="B286" s="171" t="str">
        <f t="shared" si="9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82"/>
        <v>0</v>
      </c>
      <c r="E286" s="171">
        <f t="shared" si="10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0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0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0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102"/>
        <v>0</v>
      </c>
      <c r="P286" s="94">
        <f t="shared" si="98"/>
        <v>0</v>
      </c>
      <c r="Q286" s="180">
        <f t="shared" si="103"/>
        <v>0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</v>
      </c>
      <c r="T286">
        <f>IFERROR(VLOOKUP(A286,[1]Biogasudbytte!$A$2:$B$18,2,FALSE)*[1]Energiindhold!$C$10,0)*K286*IFERROR(VLOOKUP(A286,Biogasanlæg!$F$3:$G$8,2,FALSE),1)</f>
        <v>0</v>
      </c>
      <c r="U286" s="170">
        <f t="shared" si="10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0</v>
      </c>
      <c r="X286">
        <f>K286*IFERROR(VLOOKUP(A286,[1]Tørstofindhold!A$2:B$24,2,FALSE),0)</f>
        <v>0</v>
      </c>
      <c r="Y286" s="170">
        <f t="shared" si="105"/>
        <v>0</v>
      </c>
      <c r="Z286">
        <f t="shared" si="99"/>
        <v>0</v>
      </c>
      <c r="AA286">
        <f t="shared" si="100"/>
        <v>0</v>
      </c>
      <c r="AB286" s="94">
        <f t="shared" si="86"/>
        <v>0</v>
      </c>
      <c r="AC286">
        <f>AB286*D286*10000*VLOOKUP(A286,[1]kcal!$A$2:$C$49,3,FALSE)/1000000000000</f>
        <v>0</v>
      </c>
    </row>
    <row r="287" spans="1:29" x14ac:dyDescent="0.55000000000000004">
      <c r="A287" s="171" t="str">
        <f t="shared" si="96"/>
        <v>Svinekød</v>
      </c>
      <c r="B287" s="171" t="str">
        <f t="shared" si="9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82"/>
        <v>1</v>
      </c>
      <c r="E287" s="171">
        <f t="shared" si="10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4757.7690216638703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102"/>
        <v>-105716.52853520085</v>
      </c>
      <c r="P287" s="94">
        <f t="shared" si="98"/>
        <v>0</v>
      </c>
      <c r="Q287" s="180">
        <f t="shared" si="10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10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5"/>
        <v>0</v>
      </c>
      <c r="Z287">
        <f t="shared" si="99"/>
        <v>1</v>
      </c>
      <c r="AA287">
        <f t="shared" si="100"/>
        <v>0</v>
      </c>
      <c r="AB287" s="94">
        <f t="shared" si="86"/>
        <v>4757.7690216638703</v>
      </c>
      <c r="AC287">
        <f>AB287*D287*10000*VLOOKUP(A287,[1]kcal!$A$2:$C$49,3,FALSE)/1000000000000</f>
        <v>9.2776495922445475E-3</v>
      </c>
    </row>
    <row r="288" spans="1:29" x14ac:dyDescent="0.55000000000000004">
      <c r="A288" s="171" t="str">
        <f t="shared" si="96"/>
        <v>Tang</v>
      </c>
      <c r="B288" s="171" t="str">
        <f t="shared" si="9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82"/>
        <v>1</v>
      </c>
      <c r="E288" s="171">
        <f t="shared" si="10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102"/>
        <v>0</v>
      </c>
      <c r="P288" s="94">
        <f t="shared" si="98"/>
        <v>0</v>
      </c>
      <c r="Q288" s="180">
        <f t="shared" si="10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10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105"/>
        <v>0</v>
      </c>
      <c r="Z288">
        <f t="shared" si="99"/>
        <v>0</v>
      </c>
      <c r="AA288">
        <f t="shared" si="100"/>
        <v>1</v>
      </c>
      <c r="AB288" s="94">
        <f t="shared" si="86"/>
        <v>0</v>
      </c>
      <c r="AC288">
        <f>AB288*D288*10000*VLOOKUP(A288,[1]kcal!$A$2:$C$49,3,FALSE)/1000000000000</f>
        <v>0</v>
      </c>
    </row>
    <row r="289" spans="1:29" x14ac:dyDescent="0.55000000000000004">
      <c r="A289" s="171" t="str">
        <f t="shared" si="96"/>
        <v>Total til biogas</v>
      </c>
      <c r="B289" s="171" t="str">
        <f t="shared" si="9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82"/>
        <v>0</v>
      </c>
      <c r="E289" s="171">
        <f t="shared" si="10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102"/>
        <v>0</v>
      </c>
      <c r="P289" s="94">
        <f t="shared" si="98"/>
        <v>0</v>
      </c>
      <c r="Q289" s="180">
        <f t="shared" si="10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10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5"/>
        <v>0</v>
      </c>
      <c r="Z289">
        <f t="shared" si="99"/>
        <v>0</v>
      </c>
      <c r="AA289">
        <f t="shared" si="100"/>
        <v>0</v>
      </c>
      <c r="AB289" s="94">
        <f t="shared" si="86"/>
        <v>0</v>
      </c>
      <c r="AC289">
        <f>AB289*D289*10000*VLOOKUP(A289,[1]kcal!$A$2:$C$49,3,FALSE)/1000000000000</f>
        <v>0</v>
      </c>
    </row>
    <row r="290" spans="1:29" x14ac:dyDescent="0.55000000000000004">
      <c r="A290" s="171" t="str">
        <f t="shared" si="96"/>
        <v>Træ til energi</v>
      </c>
      <c r="B290" s="171" t="str">
        <f t="shared" si="9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82"/>
        <v>0</v>
      </c>
      <c r="E290" s="171">
        <f t="shared" si="10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641761.08642399055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641761.08642399055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102"/>
        <v>0</v>
      </c>
      <c r="P290" s="94">
        <f t="shared" ca="1" si="98"/>
        <v>0</v>
      </c>
      <c r="Q290" s="180">
        <f t="shared" ca="1" si="103"/>
        <v>641761.08642399055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9.3014085239225324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104"/>
        <v>9.3014085239225324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317404.33732719865</v>
      </c>
      <c r="X290">
        <f>K290*IFERROR(VLOOKUP(A290,[1]Tørstofindhold!A$2:B$24,2,FALSE),0)</f>
        <v>0</v>
      </c>
      <c r="Y290" s="170">
        <f t="shared" ca="1" si="105"/>
        <v>317404.33732719865</v>
      </c>
      <c r="Z290">
        <f t="shared" ca="1" si="99"/>
        <v>0</v>
      </c>
      <c r="AA290">
        <f t="shared" ca="1" si="100"/>
        <v>0</v>
      </c>
      <c r="AB290" s="94">
        <f t="shared" ca="1" si="86"/>
        <v>641761.08642399055</v>
      </c>
      <c r="AC290">
        <f ca="1">AB290*D290*10000*VLOOKUP(A290,[1]kcal!$A$2:$C$49,3,FALSE)/1000000000000</f>
        <v>0</v>
      </c>
    </row>
    <row r="291" spans="1:29" ht="14.7" thickBot="1" x14ac:dyDescent="0.6">
      <c r="A291" s="171" t="str">
        <f t="shared" si="96"/>
        <v>Træmaterialer</v>
      </c>
      <c r="B291" s="171" t="str">
        <f t="shared" si="9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82"/>
        <v>0</v>
      </c>
      <c r="E291" s="171">
        <f t="shared" si="10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183690.80267816613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183690.80267816613</v>
      </c>
      <c r="O291" s="181">
        <f t="shared" ca="1" si="102"/>
        <v>0</v>
      </c>
      <c r="P291" s="182">
        <f t="shared" si="98"/>
        <v>0</v>
      </c>
      <c r="Q291" s="183">
        <f t="shared" si="10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10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5"/>
        <v>0</v>
      </c>
      <c r="Z291">
        <f t="shared" ca="1" si="99"/>
        <v>0</v>
      </c>
      <c r="AA291">
        <f t="shared" ca="1" si="100"/>
        <v>0</v>
      </c>
      <c r="AB291" s="94">
        <f t="shared" ca="1" si="86"/>
        <v>183690.80267816613</v>
      </c>
      <c r="AC291">
        <f ca="1">AB291*D291*10000*VLOOKUP(A291,[1]kcal!$A$2:$C$49,3,FALSE)/1000000000000</f>
        <v>0</v>
      </c>
    </row>
  </sheetData>
  <mergeCells count="6">
    <mergeCell ref="AB1:AC1"/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Y4" activePane="bottomRight" state="frozen"/>
      <selection pane="topRight" activeCell="F1" sqref="F1"/>
      <selection pane="bottomLeft" activeCell="A3" sqref="A3"/>
      <selection pane="bottomRight" activeCell="E18" sqref="E18"/>
    </sheetView>
  </sheetViews>
  <sheetFormatPr defaultColWidth="18" defaultRowHeight="14.4" x14ac:dyDescent="0.55000000000000004"/>
  <cols>
    <col min="1" max="2" width="18.15625" bestFit="1" customWidth="1"/>
    <col min="3" max="3" width="18.15625" customWidth="1"/>
    <col min="4" max="4" width="8.15625" bestFit="1" customWidth="1"/>
    <col min="5" max="5" width="8.15625" customWidth="1"/>
    <col min="6" max="6" width="7.83984375" customWidth="1"/>
    <col min="7" max="7" width="14.26171875" bestFit="1" customWidth="1"/>
    <col min="8" max="9" width="12" bestFit="1" customWidth="1"/>
    <col min="10" max="10" width="9.15625" bestFit="1" customWidth="1"/>
    <col min="11" max="12" width="9.68359375" bestFit="1" customWidth="1"/>
    <col min="13" max="13" width="12" bestFit="1" customWidth="1"/>
    <col min="14" max="14" width="20.15625" bestFit="1" customWidth="1"/>
    <col min="15" max="15" width="26.41796875" bestFit="1" customWidth="1"/>
    <col min="16" max="16" width="21.41796875" bestFit="1" customWidth="1"/>
    <col min="17" max="17" width="20.578125" bestFit="1" customWidth="1"/>
    <col min="18" max="18" width="20.26171875" bestFit="1" customWidth="1"/>
    <col min="19" max="19" width="19.83984375" bestFit="1" customWidth="1"/>
    <col min="20" max="20" width="18.578125" bestFit="1" customWidth="1"/>
    <col min="21" max="21" width="23.68359375" bestFit="1" customWidth="1"/>
    <col min="22" max="22" width="24" bestFit="1" customWidth="1"/>
    <col min="23" max="23" width="23.41796875" bestFit="1" customWidth="1"/>
    <col min="24" max="24" width="22.26171875" bestFit="1" customWidth="1"/>
    <col min="25" max="25" width="27.41796875" bestFit="1" customWidth="1"/>
    <col min="27" max="27" width="23.26171875" bestFit="1" customWidth="1"/>
    <col min="28" max="28" width="4.26171875" style="343" customWidth="1"/>
  </cols>
  <sheetData>
    <row r="1" spans="1:32" ht="14.7" thickTop="1" x14ac:dyDescent="0.55000000000000004">
      <c r="A1" s="428" t="s">
        <v>248</v>
      </c>
      <c r="B1" s="428"/>
      <c r="C1" s="428"/>
      <c r="D1" s="428"/>
      <c r="E1" s="395"/>
      <c r="G1" s="429" t="s">
        <v>250</v>
      </c>
      <c r="H1" s="429"/>
      <c r="I1" s="429"/>
      <c r="J1" s="429"/>
      <c r="K1" s="429"/>
      <c r="L1" s="429"/>
      <c r="M1" s="429"/>
      <c r="N1" s="430"/>
      <c r="O1" s="431" t="s">
        <v>251</v>
      </c>
      <c r="P1" s="432"/>
      <c r="Q1" s="433"/>
      <c r="R1" s="425" t="s">
        <v>122</v>
      </c>
      <c r="S1" s="425"/>
      <c r="T1" s="425"/>
      <c r="U1" s="426"/>
      <c r="V1" s="427" t="s">
        <v>229</v>
      </c>
      <c r="W1" s="425"/>
      <c r="X1" s="425"/>
      <c r="Y1" s="426"/>
      <c r="AC1" s="424" t="s">
        <v>337</v>
      </c>
      <c r="AD1" s="424"/>
      <c r="AE1">
        <f>År1</f>
        <v>2019</v>
      </c>
      <c r="AF1">
        <f ca="1">SUMIF($F$4:$F$147,$AE1,AD$4:AD$147)</f>
        <v>19.960490719951657</v>
      </c>
    </row>
    <row r="2" spans="1:32" x14ac:dyDescent="0.55000000000000004">
      <c r="A2" s="395"/>
      <c r="B2" s="395"/>
      <c r="C2" s="395"/>
      <c r="D2" s="395"/>
      <c r="E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E2">
        <f>År2</f>
        <v>2030</v>
      </c>
      <c r="AF2">
        <f ca="1">SUMIF($F$4:$F$147,$AE2,AD$4:AD$147)</f>
        <v>22.359108571608346</v>
      </c>
    </row>
    <row r="3" spans="1:32" x14ac:dyDescent="0.55000000000000004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2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17.658840532248167</v>
      </c>
    </row>
    <row r="4" spans="1:32" x14ac:dyDescent="0.55000000000000004">
      <c r="A4" s="171" t="s">
        <v>15</v>
      </c>
      <c r="B4" s="171"/>
      <c r="C4" s="171" t="str">
        <f>IFERROR(VLOOKUP(A4,'Kategorisering af kcal'!$J$2:$K$19,2,FALSE),"")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 t="shared" ref="F4:F51" si="0"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1">IF(SUMIFS($O$4:$O$147,$A$4:$A$147,A4,$F$4:$F$147,F4)&lt;0,1,0)</f>
        <v>0</v>
      </c>
      <c r="AA4">
        <f t="shared" ref="AA4:AA35" si="2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</f>
        <v>0.32429999999999998</v>
      </c>
    </row>
    <row r="5" spans="1:32" x14ac:dyDescent="0.55000000000000004">
      <c r="A5" s="171" t="s">
        <v>49</v>
      </c>
      <c r="B5" s="171"/>
      <c r="C5" s="171" t="str">
        <f>IFERROR(VLOOKUP(A5,'Kategorisering af kcal'!$J$2:$K$19,2,FALSE),"")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si="0"/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1"/>
        <v>0</v>
      </c>
      <c r="AA5">
        <f t="shared" si="2"/>
        <v>1</v>
      </c>
      <c r="AC5" s="94">
        <f t="shared" ref="AC5:AC68" si="8">G5-SUMPRODUCT($H$2:$N$2,H5:N5)</f>
        <v>212954.76453418657</v>
      </c>
      <c r="AD5">
        <f>AC5*E5*10000*VLOOKUP(A5,[1]kcal!$A$2:$C$49,3,FALSE)/1000000000000</f>
        <v>1.4789708396899257</v>
      </c>
    </row>
    <row r="6" spans="1:32" x14ac:dyDescent="0.55000000000000004">
      <c r="A6" s="171" t="s">
        <v>102</v>
      </c>
      <c r="B6" s="171" t="s">
        <v>230</v>
      </c>
      <c r="C6" s="171" t="str">
        <f>IFERROR(VLOOKUP(A6,'Kategorisering af kcal'!$J$2:$K$19,2,FALSE),"")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0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55000000000000004">
      <c r="A7" s="171" t="s">
        <v>109</v>
      </c>
      <c r="B7" s="171"/>
      <c r="C7" s="171" t="str">
        <f>IFERROR(VLOOKUP(A7,'Kategorisering af kcal'!$J$2:$K$19,2,FALSE),"")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0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55000000000000004">
      <c r="A8" s="171" t="s">
        <v>110</v>
      </c>
      <c r="B8" s="171"/>
      <c r="C8" s="171" t="str">
        <f>IFERROR(VLOOKUP(A8,'Kategorisering af kcal'!$J$2:$K$19,2,FALSE),"")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0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55000000000000004">
      <c r="A9" s="171" t="s">
        <v>208</v>
      </c>
      <c r="B9" s="171" t="s">
        <v>230</v>
      </c>
      <c r="C9" s="171" t="str">
        <f>IFERROR(VLOOKUP(A9,'Kategorisering af kcal'!$J$2:$K$19,2,FALSE),"")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0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C9" s="94">
        <f t="shared" si="8"/>
        <v>0</v>
      </c>
      <c r="AD9">
        <f>AC9*E9*10000*VLOOKUP(A9,[1]kcal!$A$2:$C$49,3,FALSE)/1000000000000</f>
        <v>0</v>
      </c>
    </row>
    <row r="10" spans="1:32" x14ac:dyDescent="0.55000000000000004">
      <c r="A10" t="s">
        <v>101</v>
      </c>
      <c r="B10" s="171" t="s">
        <v>222</v>
      </c>
      <c r="C10" s="171" t="str">
        <f>IFERROR(VLOOKUP(A10,'Kategorisering af kcal'!$J$2:$K$19,2,FALSE),"")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0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1"/>
        <v>0</v>
      </c>
      <c r="AA10">
        <f t="shared" si="2"/>
        <v>1</v>
      </c>
      <c r="AC10" s="94">
        <f t="shared" si="8"/>
        <v>1352218.0071428572</v>
      </c>
      <c r="AD10">
        <f>AC10*E10*10000*VLOOKUP(A10,[1]kcal!$A$2:$C$49,3,FALSE)/1000000000000</f>
        <v>0</v>
      </c>
    </row>
    <row r="11" spans="1:32" x14ac:dyDescent="0.55000000000000004">
      <c r="A11" t="s">
        <v>204</v>
      </c>
      <c r="B11" s="171"/>
      <c r="C11" s="171" t="str">
        <f>IFERROR(VLOOKUP(A11,'Kategorisering af kcal'!$J$2:$K$19,2,FALSE),"")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0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C11" s="94">
        <f t="shared" si="8"/>
        <v>0</v>
      </c>
      <c r="AD11">
        <f>AC11*E11*10000*VLOOKUP(A11,[1]kcal!$A$2:$C$49,3,FALSE)/1000000000000</f>
        <v>0</v>
      </c>
    </row>
    <row r="12" spans="1:32" x14ac:dyDescent="0.55000000000000004">
      <c r="A12" t="s">
        <v>137</v>
      </c>
      <c r="B12" s="171" t="s">
        <v>222</v>
      </c>
      <c r="C12" s="171" t="str">
        <f>IFERROR(VLOOKUP(A12,'Kategorisering af kcal'!$J$2:$K$19,2,FALSE),"")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0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1"/>
        <v>0</v>
      </c>
      <c r="AA12">
        <f t="shared" si="2"/>
        <v>0</v>
      </c>
      <c r="AC12" s="94">
        <f t="shared" si="8"/>
        <v>0</v>
      </c>
      <c r="AD12">
        <f>AC12*E12*10000*VLOOKUP(A12,[1]kcal!$A$2:$C$49,3,FALSE)/1000000000000</f>
        <v>0</v>
      </c>
    </row>
    <row r="13" spans="1:32" x14ac:dyDescent="0.55000000000000004">
      <c r="A13" t="s">
        <v>96</v>
      </c>
      <c r="B13" s="171"/>
      <c r="C13" s="171" t="str">
        <f>IFERROR(VLOOKUP(A13,'Kategorisering af kcal'!$J$2:$K$19,2,FALSE),"")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0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C13" s="94">
        <f t="shared" si="8"/>
        <v>201545.30567673693</v>
      </c>
      <c r="AD13">
        <f>AC13*E13*10000*VLOOKUP(A13,[1]kcal!$A$2:$C$49,3,FALSE)/1000000000000</f>
        <v>0.30634886462864014</v>
      </c>
    </row>
    <row r="14" spans="1:32" x14ac:dyDescent="0.55000000000000004">
      <c r="A14" t="s">
        <v>113</v>
      </c>
      <c r="B14" s="171"/>
      <c r="C14" s="171" t="str">
        <f>IFERROR(VLOOKUP(A14,'Kategorisering af kcal'!$J$2:$K$19,2,FALSE),"")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0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55000000000000004">
      <c r="A15" t="s">
        <v>54</v>
      </c>
      <c r="B15" s="171"/>
      <c r="C15" s="171" t="str">
        <f>IFERROR(VLOOKUP(A15,'Kategorisering af kcal'!$J$2:$K$19,2,FALSE),"")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0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55000000000000004">
      <c r="A16" s="171" t="s">
        <v>158</v>
      </c>
      <c r="B16" s="171" t="s">
        <v>158</v>
      </c>
      <c r="C16" s="171" t="str">
        <f>IFERROR(VLOOKUP(A16,'Kategorisering af kcal'!$J$2:$K$19,2,FALSE),"")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0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1"/>
        <v>1</v>
      </c>
      <c r="AA16">
        <f t="shared" si="2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55000000000000004">
      <c r="A17" s="171" t="s">
        <v>51</v>
      </c>
      <c r="B17" s="171" t="s">
        <v>224</v>
      </c>
      <c r="C17" s="171" t="str">
        <f>IFERROR(VLOOKUP(A17,'Kategorisering af kcal'!$J$2:$K$19,2,FALSE),"")</f>
        <v>Korn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0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1"/>
        <v>0</v>
      </c>
      <c r="AA17">
        <f t="shared" si="2"/>
        <v>1</v>
      </c>
      <c r="AC17" s="94">
        <f t="shared" si="8"/>
        <v>4087571.5535632987</v>
      </c>
      <c r="AD17">
        <f>AC17*E17*10000*VLOOKUP(A17,[1]kcal!$A$2:$C$49,3,FALSE)/1000000000000</f>
        <v>0</v>
      </c>
    </row>
    <row r="18" spans="1:30" x14ac:dyDescent="0.55000000000000004">
      <c r="A18" s="171" t="s">
        <v>203</v>
      </c>
      <c r="B18" s="171"/>
      <c r="C18" s="171" t="str">
        <f>IFERROR(VLOOKUP(A18,'Kategorisering af kcal'!$J$2:$K$19,2,FALSE),"")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0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1"/>
        <v>0</v>
      </c>
      <c r="AA18">
        <f t="shared" si="2"/>
        <v>0</v>
      </c>
      <c r="AC18" s="94">
        <f t="shared" si="8"/>
        <v>0</v>
      </c>
      <c r="AD18">
        <f>AC18*E18*10000*VLOOKUP(A18,[1]kcal!$A$2:$C$49,3,FALSE)/1000000000000</f>
        <v>0</v>
      </c>
    </row>
    <row r="19" spans="1:30" x14ac:dyDescent="0.55000000000000004">
      <c r="A19" s="171" t="s">
        <v>6</v>
      </c>
      <c r="B19" s="171"/>
      <c r="C19" s="171" t="str">
        <f>IFERROR(VLOOKUP(A19,'Kategorisering af kcal'!$J$2:$K$19,2,FALSE),"")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0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1"/>
        <v>1</v>
      </c>
      <c r="AA19">
        <f t="shared" si="2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55000000000000004">
      <c r="A20" s="171" t="s">
        <v>67</v>
      </c>
      <c r="B20" s="171" t="s">
        <v>227</v>
      </c>
      <c r="C20" s="171" t="str">
        <f>IFERROR(VLOOKUP(A20,'Kategorisering af kcal'!$J$2:$K$19,2,FALSE),"")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0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1"/>
        <v>0</v>
      </c>
      <c r="AA20">
        <f t="shared" si="2"/>
        <v>0</v>
      </c>
      <c r="AC20" s="94">
        <f t="shared" si="8"/>
        <v>1895494.5192748315</v>
      </c>
      <c r="AD20">
        <f>AC20*E20*10000*VLOOKUP(A20,[1]kcal!$A$2:$C$49,3,FALSE)/1000000000000</f>
        <v>0</v>
      </c>
    </row>
    <row r="21" spans="1:30" x14ac:dyDescent="0.55000000000000004">
      <c r="A21" s="171" t="s">
        <v>162</v>
      </c>
      <c r="B21" s="171" t="s">
        <v>230</v>
      </c>
      <c r="C21" s="171" t="str">
        <f>IFERROR(VLOOKUP(A21,'Kategorisering af kcal'!$J$2:$K$19,2,FALSE),"")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0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1"/>
        <v>0</v>
      </c>
      <c r="AA21">
        <f t="shared" si="2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55000000000000004">
      <c r="A22" t="s">
        <v>159</v>
      </c>
      <c r="B22" s="171"/>
      <c r="C22" s="171" t="str">
        <f>IFERROR(VLOOKUP(A22,'Kategorisering af kcal'!$J$2:$K$19,2,FALSE),"")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0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1"/>
        <v>1</v>
      </c>
      <c r="AA22">
        <f t="shared" si="2"/>
        <v>0</v>
      </c>
      <c r="AC22" s="94">
        <f t="shared" si="8"/>
        <v>-5421074.2654714445</v>
      </c>
      <c r="AD22">
        <f>AC22*E22*10000*VLOOKUP(A22,[1]kcal!$A$2:$C$49,3,FALSE)/1000000000000</f>
        <v>-3.0900123313187238</v>
      </c>
    </row>
    <row r="23" spans="1:30" x14ac:dyDescent="0.55000000000000004">
      <c r="A23" s="171" t="s">
        <v>103</v>
      </c>
      <c r="B23" s="171" t="s">
        <v>230</v>
      </c>
      <c r="C23" s="171" t="str">
        <f>IFERROR(VLOOKUP(A23,'Kategorisering af kcal'!$J$2:$K$19,2,FALSE),"")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0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1"/>
        <v>1</v>
      </c>
      <c r="AA23">
        <f t="shared" si="2"/>
        <v>0</v>
      </c>
      <c r="AC23" s="94">
        <f t="shared" si="8"/>
        <v>-282332.03034110228</v>
      </c>
      <c r="AD23">
        <f>AC23*E23*10000*VLOOKUP(A23,[1]kcal!$A$2:$C$49,3,FALSE)/1000000000000</f>
        <v>0</v>
      </c>
    </row>
    <row r="24" spans="1:30" x14ac:dyDescent="0.55000000000000004">
      <c r="A24" s="171" t="s">
        <v>56</v>
      </c>
      <c r="B24" s="171"/>
      <c r="C24" s="171" t="str">
        <f>IFERROR(VLOOKUP(A24,'Kategorisering af kcal'!$J$2:$K$19,2,FALSE),"")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0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1"/>
        <v>0</v>
      </c>
      <c r="AA24">
        <f t="shared" si="2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55000000000000004">
      <c r="A25" s="171" t="s">
        <v>12</v>
      </c>
      <c r="B25" s="171"/>
      <c r="C25" s="171" t="str">
        <f>IFERROR(VLOOKUP(A25,'Kategorisering af kcal'!$J$2:$K$19,2,FALSE),"")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0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1"/>
        <v>0</v>
      </c>
      <c r="AA25">
        <f t="shared" si="2"/>
        <v>1</v>
      </c>
      <c r="AC25" s="94">
        <f t="shared" si="8"/>
        <v>2263176.157376945</v>
      </c>
      <c r="AD25">
        <f>AC25*E25*10000*VLOOKUP(A25,[1]kcal!$A$2:$C$49,3,FALSE)/1000000000000</f>
        <v>1.765277402754017</v>
      </c>
    </row>
    <row r="26" spans="1:30" x14ac:dyDescent="0.55000000000000004">
      <c r="A26" s="171" t="s">
        <v>48</v>
      </c>
      <c r="B26" s="171" t="s">
        <v>227</v>
      </c>
      <c r="C26" s="171" t="str">
        <f>IFERROR(VLOOKUP(A26,'Kategorisering af kcal'!$J$2:$K$19,2,FALSE),"")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0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1"/>
        <v>0</v>
      </c>
      <c r="AA26">
        <f t="shared" si="2"/>
        <v>1</v>
      </c>
      <c r="AC26" s="94">
        <f t="shared" si="8"/>
        <v>2507463.0394572429</v>
      </c>
      <c r="AD26">
        <f>AC26*E26*10000*VLOOKUP(A26,[1]kcal!$A$2:$C$49,3,FALSE)/1000000000000</f>
        <v>9.1773147244135096</v>
      </c>
    </row>
    <row r="27" spans="1:30" x14ac:dyDescent="0.55000000000000004">
      <c r="A27" s="171" t="s">
        <v>115</v>
      </c>
      <c r="B27" s="171"/>
      <c r="C27" s="171" t="str">
        <f>IFERROR(VLOOKUP(A27,'Kategorisering af kcal'!$J$2:$K$19,2,FALSE),"")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0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1"/>
        <v>1</v>
      </c>
      <c r="AA27">
        <f t="shared" ca="1" si="2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55000000000000004">
      <c r="A28" s="171" t="s">
        <v>136</v>
      </c>
      <c r="B28" s="171" t="s">
        <v>222</v>
      </c>
      <c r="C28" s="171" t="str">
        <f>IFERROR(VLOOKUP(A28,'Kategorisering af kcal'!$J$2:$K$19,2,FALSE),"")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0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1"/>
        <v>0</v>
      </c>
      <c r="AA28">
        <f t="shared" si="2"/>
        <v>0</v>
      </c>
      <c r="AC28" s="94">
        <f t="shared" si="8"/>
        <v>0</v>
      </c>
      <c r="AD28">
        <f>AC28*E28*10000*VLOOKUP(A28,[1]kcal!$A$2:$C$49,3,FALSE)/1000000000000</f>
        <v>0</v>
      </c>
    </row>
    <row r="29" spans="1:30" x14ac:dyDescent="0.55000000000000004">
      <c r="A29" s="171" t="s">
        <v>108</v>
      </c>
      <c r="B29" s="171"/>
      <c r="C29" s="171" t="str">
        <f>IFERROR(VLOOKUP(A29,'Kategorisering af kcal'!$J$2:$K$19,2,FALSE),"")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0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1"/>
        <v>0</v>
      </c>
      <c r="AA29">
        <f t="shared" si="2"/>
        <v>1</v>
      </c>
      <c r="AC29" s="94">
        <f t="shared" si="8"/>
        <v>51892.132620096207</v>
      </c>
      <c r="AD29">
        <f>AC29*E29*10000*VLOOKUP(A29,[1]kcal!$A$2:$C$49,3,FALSE)/1000000000000</f>
        <v>0</v>
      </c>
    </row>
    <row r="30" spans="1:30" x14ac:dyDescent="0.55000000000000004">
      <c r="A30" t="s">
        <v>53</v>
      </c>
      <c r="B30" s="171" t="s">
        <v>224</v>
      </c>
      <c r="C30" s="171" t="str">
        <f>IFERROR(VLOOKUP(A30,'Kategorisering af kcal'!$J$2:$K$19,2,FALSE),"")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0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1"/>
        <v>0</v>
      </c>
      <c r="AA30">
        <f t="shared" si="2"/>
        <v>1</v>
      </c>
      <c r="AC30" s="94">
        <f t="shared" si="8"/>
        <v>1274488.0820395499</v>
      </c>
      <c r="AD30">
        <f>AC30*E30*10000*VLOOKUP(A30,[1]kcal!$A$2:$C$49,3,FALSE)/1000000000000</f>
        <v>1.1597841546559904</v>
      </c>
    </row>
    <row r="31" spans="1:30" x14ac:dyDescent="0.55000000000000004">
      <c r="A31" s="171" t="s">
        <v>116</v>
      </c>
      <c r="B31" s="171"/>
      <c r="C31" s="171" t="str">
        <f>IFERROR(VLOOKUP(A31,'Kategorisering af kcal'!$J$2:$K$19,2,FALSE),"")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0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1"/>
        <v>0</v>
      </c>
      <c r="AA31">
        <f t="shared" si="2"/>
        <v>1</v>
      </c>
      <c r="AC31" s="94">
        <f t="shared" si="8"/>
        <v>3383628.2</v>
      </c>
      <c r="AD31">
        <f>AC31*E31*10000*VLOOKUP(A31,[1]kcal!$A$2:$C$49,3,FALSE)/1000000000000</f>
        <v>2.1316857659999999</v>
      </c>
    </row>
    <row r="32" spans="1:30" x14ac:dyDescent="0.55000000000000004">
      <c r="A32" s="171" t="s">
        <v>106</v>
      </c>
      <c r="B32" s="171" t="s">
        <v>226</v>
      </c>
      <c r="C32" s="171" t="str">
        <f>IFERROR(VLOOKUP(A32,'Kategorisering af kcal'!$J$2:$K$19,2,FALSE),"")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0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1"/>
        <v>0</v>
      </c>
      <c r="AA32">
        <f t="shared" si="2"/>
        <v>1</v>
      </c>
      <c r="AC32" s="94">
        <f t="shared" si="8"/>
        <v>880.09999999999991</v>
      </c>
      <c r="AD32">
        <f>AC32*E32*10000*VLOOKUP(A32,[1]kcal!$A$2:$C$49,3,FALSE)/1000000000000</f>
        <v>7.3048299999999998E-4</v>
      </c>
    </row>
    <row r="33" spans="1:34" x14ac:dyDescent="0.55000000000000004">
      <c r="A33" s="171" t="s">
        <v>14</v>
      </c>
      <c r="B33" s="171"/>
      <c r="C33" s="171" t="str">
        <f>IFERROR(VLOOKUP(A33,'Kategorisering af kcal'!$J$2:$K$19,2,FALSE),"")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0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1"/>
        <v>0</v>
      </c>
      <c r="AA33">
        <f t="shared" si="2"/>
        <v>1</v>
      </c>
      <c r="AC33" s="94">
        <f t="shared" si="8"/>
        <v>115671.91919191919</v>
      </c>
      <c r="AD33">
        <f>AC33*E33*10000*VLOOKUP(A33,[1]kcal!$A$2:$C$49,3,FALSE)/1000000000000</f>
        <v>0.22556024242424241</v>
      </c>
    </row>
    <row r="34" spans="1:34" x14ac:dyDescent="0.55000000000000004">
      <c r="A34" s="171" t="s">
        <v>55</v>
      </c>
      <c r="B34" s="171"/>
      <c r="C34" s="171" t="str">
        <f>IFERROR(VLOOKUP(A34,'Kategorisering af kcal'!$J$2:$K$19,2,FALSE),"")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0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1"/>
        <v>0</v>
      </c>
      <c r="AA34">
        <f t="shared" si="2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55000000000000004">
      <c r="A35" s="171" t="s">
        <v>95</v>
      </c>
      <c r="B35" s="171" t="s">
        <v>225</v>
      </c>
      <c r="C35" s="171" t="str">
        <f>IFERROR(VLOOKUP(A35,'Kategorisering af kcal'!$J$2:$K$19,2,FALSE),"")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0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1"/>
        <v>0</v>
      </c>
      <c r="AA35">
        <f t="shared" si="2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55000000000000004">
      <c r="A36" s="171" t="s">
        <v>306</v>
      </c>
      <c r="B36" s="171" t="s">
        <v>312</v>
      </c>
      <c r="C36" s="171" t="str">
        <f>IFERROR(VLOOKUP(A36,'Kategorisering af kcal'!$J$2:$K$19,2,FALSE),"")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0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9">IF(SUMIFS($O$4:$O$147,$A$4:$A$147,A36,$F$4:$F$147,F36)&lt;0,1,0)</f>
        <v>0</v>
      </c>
      <c r="AA36">
        <f t="shared" ref="AA36:AA67" si="10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</f>
        <v>0</v>
      </c>
    </row>
    <row r="37" spans="1:34" x14ac:dyDescent="0.55000000000000004">
      <c r="A37" s="171" t="s">
        <v>307</v>
      </c>
      <c r="B37" s="171" t="s">
        <v>312</v>
      </c>
      <c r="C37" s="171" t="str">
        <f>IFERROR(VLOOKUP(A37,'Kategorisering af kcal'!$J$2:$K$19,2,FALSE),"")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0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9"/>
        <v>0</v>
      </c>
      <c r="AA37">
        <f t="shared" si="10"/>
        <v>0</v>
      </c>
      <c r="AC37" s="94">
        <f t="shared" si="8"/>
        <v>0</v>
      </c>
      <c r="AD37">
        <f>AC37*E37*10000*VLOOKUP(A37,[1]kcal!$A$2:$C$49,3,FALSE)/1000000000000</f>
        <v>0</v>
      </c>
    </row>
    <row r="38" spans="1:34" x14ac:dyDescent="0.55000000000000004">
      <c r="A38" s="171" t="s">
        <v>117</v>
      </c>
      <c r="B38" s="171"/>
      <c r="C38" s="171" t="str">
        <f>IFERROR(VLOOKUP(A38,'Kategorisering af kcal'!$J$2:$K$19,2,FALSE),"")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0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5269000</v>
      </c>
      <c r="AD38">
        <f>AC38*E38*10000*VLOOKUP(A38,[1]kcal!$A$2:$C$49,3,FALSE)/1000000000000</f>
        <v>0</v>
      </c>
    </row>
    <row r="39" spans="1:34" x14ac:dyDescent="0.55000000000000004">
      <c r="A39" t="s">
        <v>50</v>
      </c>
      <c r="B39" s="171"/>
      <c r="C39" s="171" t="str">
        <f>IFERROR(VLOOKUP(A39,'Kategorisering af kcal'!$J$2:$K$19,2,FALSE),"")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0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678325.22851124685</v>
      </c>
      <c r="AD39">
        <f>AC39*E39*10000*VLOOKUP(A39,[1]kcal!$A$2:$C$49,3,FALSE)/1000000000000</f>
        <v>0</v>
      </c>
    </row>
    <row r="40" spans="1:34" x14ac:dyDescent="0.55000000000000004">
      <c r="A40" t="s">
        <v>238</v>
      </c>
      <c r="B40" s="171"/>
      <c r="C40" s="171" t="str">
        <f>IFERROR(VLOOKUP(A40,'Kategorisering af kcal'!$J$2:$K$19,2,FALSE),"")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0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9"/>
        <v>0</v>
      </c>
      <c r="AA40">
        <f t="shared" si="10"/>
        <v>1</v>
      </c>
      <c r="AC40" s="94">
        <f t="shared" si="8"/>
        <v>98784.738662362768</v>
      </c>
      <c r="AD40">
        <f>AC40*E40*10000*VLOOKUP(A40,[1]kcal!$A$2:$C$49,3,FALSE)/1000000000000</f>
        <v>0</v>
      </c>
    </row>
    <row r="41" spans="1:34" x14ac:dyDescent="0.55000000000000004">
      <c r="A41" t="s">
        <v>231</v>
      </c>
      <c r="B41" s="171" t="s">
        <v>231</v>
      </c>
      <c r="C41" s="171" t="str">
        <f>IFERROR(VLOOKUP(A41,'Kategorisering af kcal'!$J$2:$K$19,2,FALSE),"")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0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217064.073123599</v>
      </c>
      <c r="AD41">
        <f>AC41*E41*10000*VLOOKUP(A41,[1]kcal!$A$2:$C$49,3,FALSE)/1000000000000</f>
        <v>1.953576658112391</v>
      </c>
    </row>
    <row r="42" spans="1:34" x14ac:dyDescent="0.55000000000000004">
      <c r="A42" t="s">
        <v>52</v>
      </c>
      <c r="B42" s="171" t="s">
        <v>224</v>
      </c>
      <c r="C42" s="171" t="str">
        <f>IFERROR(VLOOKUP(A42,'Kategorisering af kcal'!$J$2:$K$19,2,FALSE),"")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0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9"/>
        <v>0</v>
      </c>
      <c r="AA42">
        <f t="shared" si="10"/>
        <v>1</v>
      </c>
      <c r="AC42" s="94">
        <f t="shared" si="8"/>
        <v>1637775.5474174484</v>
      </c>
      <c r="AD42">
        <f>AC42*E42*10000*VLOOKUP(A42,[1]kcal!$A$2:$C$49,3,FALSE)/1000000000000</f>
        <v>0.49133266422523447</v>
      </c>
    </row>
    <row r="43" spans="1:34" x14ac:dyDescent="0.55000000000000004">
      <c r="A43" t="s">
        <v>121</v>
      </c>
      <c r="B43" s="171"/>
      <c r="C43" s="171" t="str">
        <f>IFERROR(VLOOKUP(A43,'Kategorisering af kcal'!$J$2:$K$19,2,FALSE),"")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0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217010.36743552322</v>
      </c>
      <c r="AD43">
        <f>AC43*E43*10000*VLOOKUP(A43,[1]kcal!$A$2:$C$49,3,FALSE)/1000000000000</f>
        <v>0</v>
      </c>
    </row>
    <row r="44" spans="1:34" x14ac:dyDescent="0.55000000000000004">
      <c r="A44" t="s">
        <v>107</v>
      </c>
      <c r="B44" s="171"/>
      <c r="C44" s="171" t="str">
        <f>IFERROR(VLOOKUP(A44,'Kategorisering af kcal'!$J$2:$K$19,2,FALSE),"")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0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9"/>
        <v>0</v>
      </c>
      <c r="AA44">
        <f t="shared" si="10"/>
        <v>1</v>
      </c>
      <c r="AC44" s="94">
        <f t="shared" si="8"/>
        <v>105946.31157195524</v>
      </c>
      <c r="AD44">
        <f>AC44*E44*10000*VLOOKUP(A44,[1]kcal!$A$2:$C$49,3,FALSE)/1000000000000</f>
        <v>0</v>
      </c>
    </row>
    <row r="45" spans="1:34" x14ac:dyDescent="0.55000000000000004">
      <c r="A45" s="171" t="s">
        <v>140</v>
      </c>
      <c r="B45" s="171" t="s">
        <v>230</v>
      </c>
      <c r="C45" s="171" t="str">
        <f>IFERROR(VLOOKUP(A45,'Kategorisering af kcal'!$J$2:$K$19,2,FALSE),"")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0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9"/>
        <v>0</v>
      </c>
      <c r="AA45">
        <f t="shared" si="10"/>
        <v>1</v>
      </c>
      <c r="AC45" s="94">
        <f t="shared" si="8"/>
        <v>4368323.901678659</v>
      </c>
      <c r="AD45">
        <f>AC45*E45*10000*VLOOKUP(A45,[1]kcal!$A$2:$C$49,3,FALSE)/1000000000000</f>
        <v>0</v>
      </c>
    </row>
    <row r="46" spans="1:34" x14ac:dyDescent="0.55000000000000004">
      <c r="A46" s="171" t="s">
        <v>135</v>
      </c>
      <c r="B46" s="171" t="s">
        <v>222</v>
      </c>
      <c r="C46" s="171" t="str">
        <f>IFERROR(VLOOKUP(A46,'Kategorisering af kcal'!$J$2:$K$19,2,FALSE),"")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0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55000000000000004">
      <c r="A47" s="171" t="s">
        <v>13</v>
      </c>
      <c r="B47" s="171"/>
      <c r="C47" s="171" t="str">
        <f>IFERROR(VLOOKUP(A47,'Kategorisering af kcal'!$J$2:$K$19,2,FALSE),"")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0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3"/>
    </row>
    <row r="48" spans="1:34" x14ac:dyDescent="0.55000000000000004">
      <c r="A48" s="171" t="s">
        <v>99</v>
      </c>
      <c r="B48" s="171" t="s">
        <v>226</v>
      </c>
      <c r="C48" s="171" t="str">
        <f>IFERROR(VLOOKUP(A48,'Kategorisering af kcal'!$J$2:$K$19,2,FALSE),"")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0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9"/>
        <v>0</v>
      </c>
      <c r="AA48">
        <f t="shared" si="10"/>
        <v>1</v>
      </c>
      <c r="AC48" s="94">
        <f t="shared" si="8"/>
        <v>76.5</v>
      </c>
      <c r="AD48">
        <f>AC48*E48*10000*VLOOKUP(A48,[1]kcal!$A$2:$C$49,3,FALSE)/1000000000000</f>
        <v>3.1211999999999999E-5</v>
      </c>
    </row>
    <row r="49" spans="1:30" x14ac:dyDescent="0.55000000000000004">
      <c r="A49" s="171" t="s">
        <v>104</v>
      </c>
      <c r="B49" s="171"/>
      <c r="C49" s="171" t="str">
        <f>IFERROR(VLOOKUP(A49,'Kategorisering af kcal'!$J$2:$K$19,2,FALSE),"")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0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55000000000000004">
      <c r="A50" s="171" t="s">
        <v>119</v>
      </c>
      <c r="B50" s="171" t="s">
        <v>225</v>
      </c>
      <c r="C50" s="171" t="str">
        <f>IFERROR(VLOOKUP(A50,'Kategorisering af kcal'!$J$2:$K$19,2,FALSE),"")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0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55000000000000004">
      <c r="A51" s="171" t="s">
        <v>118</v>
      </c>
      <c r="B51" s="171"/>
      <c r="C51" s="171" t="str">
        <f>IFERROR(VLOOKUP(A51,'Kategorisering af kcal'!$J$2:$K$19,2,FALSE),"")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0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827707.93518034508</v>
      </c>
      <c r="AD51">
        <f ca="1">AC51*E51*10000*VLOOKUP(A51,[1]kcal!$A$2:$C$49,3,FALSE)/1000000000000</f>
        <v>0</v>
      </c>
    </row>
    <row r="52" spans="1:30" x14ac:dyDescent="0.55000000000000004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kcal'!$J$2:$K$19,2,FALSE),"")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148811.68461728521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88022.5599396568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148811.68461728521</v>
      </c>
      <c r="AD52">
        <f>AC52*E52*10000*VLOOKUP(A52,[1]kcal!$A$2:$C$49,3,FALSE)/1000000000000</f>
        <v>0.20536012477185359</v>
      </c>
    </row>
    <row r="53" spans="1:30" x14ac:dyDescent="0.55000000000000004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kcal'!$J$2:$K$19,2,FALSE),"")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1019753.5198165739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48910.366343274291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970843.1534732997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9"/>
        <v>0</v>
      </c>
      <c r="AA53">
        <f t="shared" si="10"/>
        <v>1</v>
      </c>
      <c r="AC53" s="94">
        <f t="shared" si="8"/>
        <v>970843.1534732997</v>
      </c>
      <c r="AD53">
        <f>AC53*E53*10000*VLOOKUP(A53,[1]kcal!$A$2:$C$49,3,FALSE)/1000000000000</f>
        <v>6.7425057008720675</v>
      </c>
    </row>
    <row r="54" spans="1:30" x14ac:dyDescent="0.55000000000000004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kcal'!$J$2:$K$19,2,FALSE),"")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55000000000000004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kcal'!$J$2:$K$19,2,FALSE),"")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453395215.21617842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453395215.21617842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453395215.21617842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453395215.21617842</v>
      </c>
      <c r="AD55">
        <f ca="1">AC55*E55*10000*VLOOKUP(A55,[1]kcal!$A$2:$C$49,3,FALSE)/1000000000000</f>
        <v>0</v>
      </c>
    </row>
    <row r="56" spans="1:30" x14ac:dyDescent="0.55000000000000004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kcal'!$J$2:$K$19,2,FALSE),"")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18679597.222446498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12803468.568539068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5876128.6539074294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5876128.6539074294</v>
      </c>
      <c r="AD56">
        <f ca="1">AC56*E56*10000*VLOOKUP(A56,[1]kcal!$A$2:$C$49,3,FALSE)/1000000000000</f>
        <v>0</v>
      </c>
    </row>
    <row r="57" spans="1:30" x14ac:dyDescent="0.55000000000000004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kcal'!$J$2:$K$19,2,FALSE),"")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0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0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0</v>
      </c>
      <c r="P57" s="94">
        <f t="shared" si="4"/>
        <v>0</v>
      </c>
      <c r="Q57" s="180">
        <f t="shared" si="5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6"/>
        <v>0</v>
      </c>
      <c r="V57" s="169">
        <f>P57*IFERROR(VLOOKUP(A57,[1]Tørstofindhold!A$2:B$24,2,FALSE),0)</f>
        <v>0</v>
      </c>
      <c r="W57">
        <f>IF(F57=År1,Q57,SUM(P57,Q57))*IFERROR(VLOOKUP(A57,[1]Tørstofindhold!A$2:B$24,2,FALSE),0)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7"/>
        <v>0</v>
      </c>
      <c r="Z57">
        <f t="shared" si="9"/>
        <v>0</v>
      </c>
      <c r="AA57">
        <f t="shared" si="10"/>
        <v>0</v>
      </c>
      <c r="AC57" s="94">
        <f t="shared" si="8"/>
        <v>0</v>
      </c>
      <c r="AD57">
        <f>AC57*E57*10000*VLOOKUP(A57,[1]kcal!$A$2:$C$49,3,FALSE)/1000000000000</f>
        <v>0</v>
      </c>
    </row>
    <row r="58" spans="1:30" x14ac:dyDescent="0.55000000000000004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kcal'!$J$2:$K$19,2,FALSE),"")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2808191.932139663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2106143.9491047473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265775.30786321807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436272.67517169751</v>
      </c>
      <c r="P58" s="94">
        <f t="shared" si="4"/>
        <v>436272.67517169751</v>
      </c>
      <c r="Q58" s="180">
        <f t="shared" si="5"/>
        <v>2106143.9491047473</v>
      </c>
      <c r="R58">
        <f>IFERROR(VLOOKUP(A58,[1]Energiindhold!$A$2:$C$11,3,FALSE),IFERROR(VLOOKUP(A58,[1]Biogasudbytte!$A$2:$B$18,2,FALSE)*[1]Energiindhold!$C$10,0))*P58</f>
        <v>0.93973134231983646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5.4763654086914624</v>
      </c>
      <c r="T58">
        <f>IFERROR(VLOOKUP(A58,[1]Biogasudbytte!$A$2:$B$18,2,FALSE)*[1]Energiindhold!$C$10,0)*K58*IFERROR(VLOOKUP(A58,Biogasanlæg!$F$3:$G$8,2,FALSE),1)</f>
        <v>4.5366340663716258</v>
      </c>
      <c r="U58" s="170">
        <f t="shared" si="6"/>
        <v>0.93973134231983657</v>
      </c>
      <c r="V58" s="169">
        <f>P58*IFERROR(VLOOKUP(A58,[1]Tørstofindhold!A$2:B$24,2,FALSE),0)</f>
        <v>130881.80255150924</v>
      </c>
      <c r="W58">
        <f>IF(F58=År1,Q58,SUM(P58,Q58))*IFERROR(VLOOKUP(A58,[1]Tørstofindhold!A$2:B$24,2,FALSE),0)</f>
        <v>762724.98728293343</v>
      </c>
      <c r="X58">
        <f>K58*IFERROR(VLOOKUP(A58,[1]Tørstofindhold!A$2:B$24,2,FALSE),0)</f>
        <v>631843.1847314242</v>
      </c>
      <c r="Y58" s="170">
        <f t="shared" si="7"/>
        <v>130881.80255150923</v>
      </c>
      <c r="Z58">
        <f t="shared" si="9"/>
        <v>0</v>
      </c>
      <c r="AA58">
        <f t="shared" si="10"/>
        <v>1</v>
      </c>
      <c r="AC58" s="94">
        <f t="shared" si="8"/>
        <v>436272.67517169751</v>
      </c>
      <c r="AD58">
        <f>AC58*E58*10000*VLOOKUP(A58,[1]kcal!$A$2:$C$49,3,FALSE)/1000000000000</f>
        <v>0</v>
      </c>
    </row>
    <row r="59" spans="1:30" x14ac:dyDescent="0.55000000000000004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kcal'!$J$2:$K$19,2,FALSE),"")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0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0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0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9"/>
        <v>0</v>
      </c>
      <c r="AA59">
        <f t="shared" si="10"/>
        <v>0</v>
      </c>
      <c r="AC59" s="94">
        <f t="shared" si="8"/>
        <v>0</v>
      </c>
      <c r="AD59">
        <f>AC59*E59*10000*VLOOKUP(A59,[1]kcal!$A$2:$C$49,3,FALSE)/1000000000000</f>
        <v>0</v>
      </c>
    </row>
    <row r="60" spans="1:30" x14ac:dyDescent="0.55000000000000004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kcal'!$J$2:$K$19,2,FALSE),"")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8763.0298060619389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6572.2723545464542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2190.7574515154847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6572.2723545464542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3.090873965619652E-3</v>
      </c>
      <c r="T60">
        <f>IFERROR(VLOOKUP(A60,[1]Biogasudbytte!$A$2:$B$18,2,FALSE)*[1]Energiindhold!$C$10,0)*K60*IFERROR(VLOOKUP(A60,Biogasanlæg!$F$3:$G$8,2,FALSE),1)</f>
        <v>3.090873965619652E-3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414.05315833642663</v>
      </c>
      <c r="X60">
        <f>K60*IFERROR(VLOOKUP(A60,[1]Tørstofindhold!A$2:B$24,2,FALSE),0)</f>
        <v>414.05315833642663</v>
      </c>
      <c r="Y60" s="170">
        <f t="shared" si="7"/>
        <v>0</v>
      </c>
      <c r="Z60">
        <f t="shared" si="9"/>
        <v>0</v>
      </c>
      <c r="AA60">
        <f t="shared" si="10"/>
        <v>0</v>
      </c>
      <c r="AC60" s="94">
        <f t="shared" si="8"/>
        <v>0</v>
      </c>
      <c r="AD60">
        <f>AC60*E60*10000*VLOOKUP(A60,[1]kcal!$A$2:$C$49,3,FALSE)/1000000000000</f>
        <v>0</v>
      </c>
    </row>
    <row r="61" spans="1:30" x14ac:dyDescent="0.55000000000000004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kcal'!$J$2:$K$19,2,FALSE),"")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106887.81651997143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41032.931452540652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106887.81651997143</v>
      </c>
      <c r="AD61">
        <f>AC61*E61*10000*VLOOKUP(A61,[1]kcal!$A$2:$C$49,3,FALSE)/1000000000000</f>
        <v>0.16246948111035656</v>
      </c>
    </row>
    <row r="62" spans="1:30" x14ac:dyDescent="0.55000000000000004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kcal'!$J$2:$K$19,2,FALSE),"")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1368867.7705271591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1368867.7705271591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1368867.7705271591</v>
      </c>
      <c r="AD62">
        <f>AC62*E62*10000*VLOOKUP(A62,[1]kcal!$A$2:$C$49,3,FALSE)/1000000000000</f>
        <v>0</v>
      </c>
    </row>
    <row r="63" spans="1:30" x14ac:dyDescent="0.55000000000000004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kcal'!$J$2:$K$19,2,FALSE),"")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38464.514781323101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-442782.7222499018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38464.514781323101</v>
      </c>
      <c r="AD63">
        <f>AC63*E63*10000*VLOOKUP(A63,[1]kcal!$A$2:$C$49,3,FALSE)/1000000000000</f>
        <v>2.0001547686288011E-2</v>
      </c>
    </row>
    <row r="64" spans="1:30" x14ac:dyDescent="0.55000000000000004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kcal'!$J$2:$K$19,2,FALSE),"")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55000000000000004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kcal'!$J$2:$K$19,2,FALSE),"")</f>
        <v>Korn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1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16224576.94863083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9280062.7029926386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0</v>
      </c>
      <c r="O65" s="179">
        <f t="shared" si="3"/>
        <v>6944514.2456381917</v>
      </c>
      <c r="P65" s="94">
        <f t="shared" si="4"/>
        <v>6944514.2456381917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12.777038147693569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12.777038147693569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12.777038147693569</v>
      </c>
      <c r="V65" s="169">
        <f>P65*IFERROR(VLOOKUP(A65,[1]Tørstofindhold!A$2:B$24,2,FALSE),0)</f>
        <v>1944463.9887786938</v>
      </c>
      <c r="W65">
        <f>IF(F65=År1,Q65,SUM(P65,Q65))*IFERROR(VLOOKUP(A65,[1]Tørstofindhold!A$2:B$24,2,FALSE),0)</f>
        <v>1944463.9887786938</v>
      </c>
      <c r="X65">
        <f>K65*IFERROR(VLOOKUP(A65,[1]Tørstofindhold!A$2:B$24,2,FALSE),0)</f>
        <v>0</v>
      </c>
      <c r="Y65" s="170">
        <f t="shared" si="7"/>
        <v>1944463.9887786938</v>
      </c>
      <c r="Z65">
        <f t="shared" si="9"/>
        <v>0</v>
      </c>
      <c r="AA65">
        <f t="shared" si="10"/>
        <v>1</v>
      </c>
      <c r="AC65" s="94">
        <f t="shared" si="8"/>
        <v>6944514.2456381917</v>
      </c>
      <c r="AD65">
        <f>AC65*E65*10000*VLOOKUP(A65,[1]kcal!$A$2:$C$49,3,FALSE)/1000000000000</f>
        <v>0</v>
      </c>
    </row>
    <row r="66" spans="1:30" x14ac:dyDescent="0.55000000000000004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kcal'!$J$2:$K$19,2,FALSE),"")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0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0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9"/>
        <v>0</v>
      </c>
      <c r="AA66">
        <f t="shared" si="10"/>
        <v>0</v>
      </c>
      <c r="AC66" s="94">
        <f t="shared" si="8"/>
        <v>0</v>
      </c>
      <c r="AD66">
        <f>AC66*E66*10000*VLOOKUP(A66,[1]kcal!$A$2:$C$49,3,FALSE)/1000000000000</f>
        <v>0</v>
      </c>
    </row>
    <row r="67" spans="1:30" x14ac:dyDescent="0.55000000000000004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kcal'!$J$2:$K$19,2,FALSE),"")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1498357.2493709968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994314.09058566124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0</v>
      </c>
      <c r="AA67">
        <f t="shared" si="10"/>
        <v>1</v>
      </c>
      <c r="AC67" s="94">
        <f t="shared" si="8"/>
        <v>1498357.2493709968</v>
      </c>
      <c r="AD67">
        <f>AC67*E67*10000*VLOOKUP(A67,[1]kcal!$A$2:$C$49,3,FALSE)/1000000000000</f>
        <v>0.58435932725468875</v>
      </c>
    </row>
    <row r="68" spans="1:30" x14ac:dyDescent="0.55000000000000004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kcal'!$J$2:$K$19,2,FALSE),"")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3155874.6736555989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586245.08547563502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538883.85983504658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2030745.7283449187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2030745.7283449187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20.989394572197444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20.989394572197444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1726133.8690931809</v>
      </c>
      <c r="X68">
        <f>K68*IFERROR(VLOOKUP(A68,[1]Tørstofindhold!A$2:B$24,2,FALSE),0)</f>
        <v>0</v>
      </c>
      <c r="Y68" s="170">
        <f t="shared" si="7"/>
        <v>1726133.8690931809</v>
      </c>
      <c r="Z68">
        <f t="shared" ref="Z68:Z99" si="15">IF(SUMIFS($O$4:$O$147,$A$4:$A$147,A68,$F$4:$F$147,F68)&lt;0,1,0)</f>
        <v>0</v>
      </c>
      <c r="AA68">
        <f t="shared" ref="AA68:AA99" si="16">IF(SUMIFS($O$4:$O$147,$A$4:$A$147,A68,$F$4:$F$147,F68)&gt;0,1,0)</f>
        <v>0</v>
      </c>
      <c r="AC68" s="94">
        <f t="shared" si="8"/>
        <v>2030745.7283449173</v>
      </c>
      <c r="AD68">
        <f>AC68*E68*10000*VLOOKUP(A68,[1]kcal!$A$2:$C$49,3,FALSE)/1000000000000</f>
        <v>0</v>
      </c>
    </row>
    <row r="69" spans="1:30" x14ac:dyDescent="0.55000000000000004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kcal'!$J$2:$K$19,2,FALSE),"")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55000000000000004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kcal'!$J$2:$K$19,2,FALSE),"")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3661484.3693090063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7"/>
        <v>-3661484.3693090063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si="15"/>
        <v>1</v>
      </c>
      <c r="AA70">
        <f t="shared" si="16"/>
        <v>0</v>
      </c>
      <c r="AC70" s="94">
        <f t="shared" si="22"/>
        <v>-3661484.3693090063</v>
      </c>
      <c r="AD70">
        <f>AC70*E70*10000*VLOOKUP(A70,[1]kcal!$A$2:$C$49,3,FALSE)/1000000000000</f>
        <v>-2.0870460905061337</v>
      </c>
    </row>
    <row r="71" spans="1:30" x14ac:dyDescent="0.55000000000000004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kcal'!$J$2:$K$19,2,FALSE),"")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591642.55905312812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7"/>
        <v>591642.55905312812</v>
      </c>
      <c r="P71" s="94">
        <f t="shared" si="18"/>
        <v>591642.55905312812</v>
      </c>
      <c r="Q71" s="180">
        <f t="shared" si="19"/>
        <v>0</v>
      </c>
      <c r="R71">
        <f>IFERROR(VLOOKUP(A71,[1]Energiindhold!$A$2:$C$11,3,FALSE),IFERROR(VLOOKUP(A71,[1]Biogasudbytte!$A$2:$B$18,2,FALSE)*[1]Energiindhold!$C$10,0))*P71</f>
        <v>2.5636641219098815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2.5636641219098815</v>
      </c>
      <c r="T71">
        <f>IFERROR(VLOOKUP(A71,[1]Biogasudbytte!$A$2:$B$18,2,FALSE)*[1]Energiindhold!$C$10,0)*K71*IFERROR(VLOOKUP(A71,Biogasanlæg!$F$3:$G$8,2,FALSE),1)</f>
        <v>0</v>
      </c>
      <c r="U71" s="170">
        <f t="shared" si="20"/>
        <v>2.5636641219098815</v>
      </c>
      <c r="V71" s="169">
        <f>P71*IFERROR(VLOOKUP(A71,[1]Tørstofindhold!A$2:B$24,2,FALSE),0)</f>
        <v>248489.8748023138</v>
      </c>
      <c r="W71">
        <f>IF(F71=År1,Q71,SUM(P71,Q71))*IFERROR(VLOOKUP(A71,[1]Tørstofindhold!A$2:B$24,2,FALSE),0)</f>
        <v>248489.8748023138</v>
      </c>
      <c r="X71">
        <f>K71*IFERROR(VLOOKUP(A71,[1]Tørstofindhold!A$2:B$24,2,FALSE),0)</f>
        <v>0</v>
      </c>
      <c r="Y71" s="170">
        <f t="shared" si="21"/>
        <v>248489.8748023138</v>
      </c>
      <c r="Z71">
        <f t="shared" si="15"/>
        <v>0</v>
      </c>
      <c r="AA71">
        <f t="shared" si="16"/>
        <v>1</v>
      </c>
      <c r="AC71" s="94">
        <f t="shared" si="22"/>
        <v>591642.55905312812</v>
      </c>
      <c r="AD71">
        <f>AC71*E71*10000*VLOOKUP(A71,[1]kcal!$A$2:$C$49,3,FALSE)/1000000000000</f>
        <v>0</v>
      </c>
    </row>
    <row r="72" spans="1:30" x14ac:dyDescent="0.55000000000000004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kcal'!$J$2:$K$19,2,FALSE),"")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849519.81288414227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849519.81288414227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849519.81288414227</v>
      </c>
      <c r="AD72">
        <f>AC72*E72*10000*VLOOKUP(A72,[1]kcal!$A$2:$C$49,3,FALSE)/1000000000000</f>
        <v>0</v>
      </c>
    </row>
    <row r="73" spans="1:30" x14ac:dyDescent="0.55000000000000004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kcal'!$J$2:$K$19,2,FALSE),"")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2111758.8651544251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7"/>
        <v>1881266.7674184174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si="15"/>
        <v>0</v>
      </c>
      <c r="AA73">
        <f t="shared" si="16"/>
        <v>1</v>
      </c>
      <c r="AC73" s="94">
        <f t="shared" si="22"/>
        <v>2111758.8651544251</v>
      </c>
      <c r="AD73">
        <f>AC73*E73*10000*VLOOKUP(A73,[1]kcal!$A$2:$C$49,3,FALSE)/1000000000000</f>
        <v>1.6471719148204516</v>
      </c>
    </row>
    <row r="74" spans="1:30" x14ac:dyDescent="0.55000000000000004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kcal'!$J$2:$K$19,2,FALSE),"")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6543510.9953077445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4458315.7543181824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7"/>
        <v>1533027.3585011037</v>
      </c>
      <c r="P74" s="94">
        <f t="shared" si="18"/>
        <v>1533027.3585011037</v>
      </c>
      <c r="Q74" s="180">
        <f t="shared" si="19"/>
        <v>0</v>
      </c>
      <c r="R74">
        <f>IFERROR(VLOOKUP(A74,[1]Energiindhold!$A$2:$C$11,3,FALSE),IFERROR(VLOOKUP(A74,[1]Biogasudbytte!$A$2:$B$18,2,FALSE)*[1]Energiindhold!$C$10,0))*P74</f>
        <v>5.2504040790360911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5.2504040790360911</v>
      </c>
      <c r="T74">
        <f>IFERROR(VLOOKUP(A74,[1]Biogasudbytte!$A$2:$B$18,2,FALSE)*[1]Energiindhold!$C$10,0)*K74*IFERROR(VLOOKUP(A74,Biogasanlæg!$F$3:$G$8,2,FALSE),1)</f>
        <v>0</v>
      </c>
      <c r="U74" s="170">
        <f t="shared" si="20"/>
        <v>5.2504040790360911</v>
      </c>
      <c r="V74" s="169">
        <f>P74*IFERROR(VLOOKUP(A74,[1]Tørstofindhold!A$2:B$24,2,FALSE),0)</f>
        <v>475238.48113534215</v>
      </c>
      <c r="W74">
        <f>IF(F74=År1,Q74,SUM(P74,Q74))*IFERROR(VLOOKUP(A74,[1]Tørstofindhold!A$2:B$24,2,FALSE),0)</f>
        <v>475238.48113534215</v>
      </c>
      <c r="X74">
        <f>K74*IFERROR(VLOOKUP(A74,[1]Tørstofindhold!A$2:B$24,2,FALSE),0)</f>
        <v>0</v>
      </c>
      <c r="Y74" s="170">
        <f t="shared" si="21"/>
        <v>475238.48113534215</v>
      </c>
      <c r="Z74">
        <f t="shared" si="15"/>
        <v>0</v>
      </c>
      <c r="AA74">
        <f t="shared" si="16"/>
        <v>1</v>
      </c>
      <c r="AC74" s="94">
        <f t="shared" si="22"/>
        <v>2085195.2409895621</v>
      </c>
      <c r="AD74">
        <f>AC74*E74*10000*VLOOKUP(A74,[1]kcal!$A$2:$C$49,3,FALSE)/1000000000000</f>
        <v>7.6318145820217982</v>
      </c>
    </row>
    <row r="75" spans="1:30" x14ac:dyDescent="0.55000000000000004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kcal'!$J$2:$K$19,2,FALSE),"")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1917238.4222421432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-1917238.4222421432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-1917238.4222421432</v>
      </c>
      <c r="AD75">
        <f ca="1">AC75*E75*10000*VLOOKUP(A75,[1]kcal!$A$2:$C$49,3,FALSE)/1000000000000</f>
        <v>0</v>
      </c>
    </row>
    <row r="76" spans="1:30" x14ac:dyDescent="0.55000000000000004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kcal'!$J$2:$K$19,2,FALSE),"")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8199979.8979257876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6149984.92344434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2049994.9744814469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7"/>
        <v>0</v>
      </c>
      <c r="P76" s="94">
        <f t="shared" si="18"/>
        <v>0</v>
      </c>
      <c r="Q76" s="180">
        <f t="shared" si="19"/>
        <v>6149984.92344434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3.113060868398291</v>
      </c>
      <c r="T76">
        <f>IFERROR(VLOOKUP(A76,[1]Biogasudbytte!$A$2:$B$18,2,FALSE)*[1]Energiindhold!$C$10,0)*K76*IFERROR(VLOOKUP(A76,Biogasanlæg!$F$3:$G$8,2,FALSE),1)</f>
        <v>3.113060868398291</v>
      </c>
      <c r="U76" s="170">
        <f t="shared" si="20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467398.85418176983</v>
      </c>
      <c r="X76">
        <f>K76*IFERROR(VLOOKUP(A76,[1]Tørstofindhold!A$2:B$24,2,FALSE),0)</f>
        <v>467398.85418176983</v>
      </c>
      <c r="Y76" s="170">
        <f t="shared" si="21"/>
        <v>0</v>
      </c>
      <c r="Z76">
        <f t="shared" si="15"/>
        <v>0</v>
      </c>
      <c r="AA76">
        <f t="shared" si="16"/>
        <v>0</v>
      </c>
      <c r="AC76" s="94">
        <f t="shared" si="22"/>
        <v>0</v>
      </c>
      <c r="AD76">
        <f>AC76*E76*10000*VLOOKUP(A76,[1]kcal!$A$2:$C$49,3,FALSE)/1000000000000</f>
        <v>0</v>
      </c>
    </row>
    <row r="77" spans="1:30" x14ac:dyDescent="0.55000000000000004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kcal'!$J$2:$K$19,2,FALSE),"")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1028175.3505727286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1149393.6090669457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7"/>
        <v>-121218.25849421718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si="15"/>
        <v>1</v>
      </c>
      <c r="AA77">
        <f t="shared" si="16"/>
        <v>0</v>
      </c>
      <c r="AC77" s="94">
        <f t="shared" si="22"/>
        <v>-121218.25849421718</v>
      </c>
      <c r="AD77">
        <f>AC77*E77*10000*VLOOKUP(A77,[1]kcal!$A$2:$C$49,3,FALSE)/1000000000000</f>
        <v>0</v>
      </c>
    </row>
    <row r="78" spans="1:30" x14ac:dyDescent="0.55000000000000004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kcal'!$J$2:$K$19,2,FALSE),"")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5847111.656218526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4289846.7146913484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7"/>
        <v>1557264.9415271776</v>
      </c>
      <c r="P78" s="94">
        <f t="shared" si="18"/>
        <v>1557264.9415271776</v>
      </c>
      <c r="Q78" s="180">
        <f t="shared" si="19"/>
        <v>0</v>
      </c>
      <c r="R78">
        <f>IFERROR(VLOOKUP(A78,[1]Energiindhold!$A$2:$C$11,3,FALSE),IFERROR(VLOOKUP(A78,[1]Biogasudbytte!$A$2:$B$18,2,FALSE)*[1]Energiindhold!$C$10,0))*P78</f>
        <v>5.590581140082568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5.590581140082568</v>
      </c>
      <c r="T78">
        <f>IFERROR(VLOOKUP(A78,[1]Biogasudbytte!$A$2:$B$18,2,FALSE)*[1]Energiindhold!$C$10,0)*K78*IFERROR(VLOOKUP(A78,Biogasanlæg!$F$3:$G$8,2,FALSE),1)</f>
        <v>0</v>
      </c>
      <c r="U78" s="170">
        <f t="shared" si="20"/>
        <v>5.590581140082568</v>
      </c>
      <c r="V78" s="169">
        <f>P78*IFERROR(VLOOKUP(A78,[1]Tørstofindhold!A$2:B$24,2,FALSE),0)</f>
        <v>467179.48245815327</v>
      </c>
      <c r="W78">
        <f>IF(F78=År1,Q78,SUM(P78,Q78))*IFERROR(VLOOKUP(A78,[1]Tørstofindhold!A$2:B$24,2,FALSE),0)</f>
        <v>467179.48245815327</v>
      </c>
      <c r="X78">
        <f>K78*IFERROR(VLOOKUP(A78,[1]Tørstofindhold!A$2:B$24,2,FALSE),0)</f>
        <v>0</v>
      </c>
      <c r="Y78" s="170">
        <f t="shared" si="21"/>
        <v>467179.48245815327</v>
      </c>
      <c r="Z78">
        <f t="shared" si="15"/>
        <v>0</v>
      </c>
      <c r="AA78">
        <f t="shared" si="16"/>
        <v>1</v>
      </c>
      <c r="AC78" s="94">
        <f t="shared" si="22"/>
        <v>1557264.9415271776</v>
      </c>
      <c r="AD78">
        <f>AC78*E78*10000*VLOOKUP(A78,[1]kcal!$A$2:$C$49,3,FALSE)/1000000000000</f>
        <v>1.4171110967897318</v>
      </c>
    </row>
    <row r="79" spans="1:30" x14ac:dyDescent="0.55000000000000004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kcal'!$J$2:$K$19,2,FALSE),"")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1983844.8145560268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1102402.5067304149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1983844.8145560268</v>
      </c>
      <c r="AD79">
        <f>AC79*E79*10000*VLOOKUP(A79,[1]kcal!$A$2:$C$49,3,FALSE)/1000000000000</f>
        <v>1.2498222331702968</v>
      </c>
    </row>
    <row r="80" spans="1:30" x14ac:dyDescent="0.55000000000000004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kcal'!$J$2:$K$19,2,FALSE),"")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7"/>
        <v>880.09999999999991</v>
      </c>
      <c r="P80" s="94">
        <f t="shared" si="18"/>
        <v>880.09999999999991</v>
      </c>
      <c r="Q80" s="180">
        <f t="shared" si="19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0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1"/>
        <v>132.01499999999999</v>
      </c>
      <c r="Z80">
        <f t="shared" si="15"/>
        <v>0</v>
      </c>
      <c r="AA80">
        <f t="shared" si="16"/>
        <v>1</v>
      </c>
      <c r="AC80" s="94">
        <f t="shared" si="22"/>
        <v>880.09999999999991</v>
      </c>
      <c r="AD80">
        <f>AC80*E80*10000*VLOOKUP(A80,[1]kcal!$A$2:$C$49,3,FALSE)/1000000000000</f>
        <v>7.3048299999999998E-4</v>
      </c>
    </row>
    <row r="81" spans="1:30" x14ac:dyDescent="0.55000000000000004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kcal'!$J$2:$K$19,2,FALSE),"")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60160.637598397458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-51843.324620132888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1</v>
      </c>
      <c r="AA81">
        <f t="shared" si="16"/>
        <v>0</v>
      </c>
      <c r="AC81" s="94">
        <f t="shared" si="22"/>
        <v>60160.637598397458</v>
      </c>
      <c r="AD81">
        <f>AC81*E81*10000*VLOOKUP(A81,[1]kcal!$A$2:$C$49,3,FALSE)/1000000000000</f>
        <v>0.11731324331687505</v>
      </c>
    </row>
    <row r="82" spans="1:30" x14ac:dyDescent="0.55000000000000004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kcal'!$J$2:$K$19,2,FALSE),"")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1865121.2631839167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1865121.2631839167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1865121.2631839167</v>
      </c>
      <c r="AD82">
        <f>AC82*E82*10000*VLOOKUP(A82,[1]kcal!$A$2:$C$49,3,FALSE)/1000000000000</f>
        <v>0.72739729264172759</v>
      </c>
    </row>
    <row r="83" spans="1:30" x14ac:dyDescent="0.55000000000000004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kcal'!$J$2:$K$19,2,FALSE),"")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188038.45324913756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188038.45324913756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188038.45324913756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3.4599075397841306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3.4599075397841306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78035.95809839209</v>
      </c>
      <c r="X83">
        <f>K83*IFERROR(VLOOKUP(A83,[1]Tørstofindhold!A$2:B$24,2,FALSE),0)</f>
        <v>0</v>
      </c>
      <c r="Y83" s="170">
        <f t="shared" si="21"/>
        <v>78035.95809839209</v>
      </c>
      <c r="Z83">
        <f t="shared" si="15"/>
        <v>0</v>
      </c>
      <c r="AA83">
        <f t="shared" si="16"/>
        <v>0</v>
      </c>
      <c r="AC83" s="94">
        <f t="shared" si="22"/>
        <v>188038.45324913756</v>
      </c>
      <c r="AD83">
        <f>AC83*E83*10000*VLOOKUP(A83,[1]kcal!$A$2:$C$49,3,FALSE)/1000000000000</f>
        <v>0</v>
      </c>
    </row>
    <row r="84" spans="1:30" x14ac:dyDescent="0.55000000000000004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kcal'!$J$2:$K$19,2,FALSE),"")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7"/>
        <v>0</v>
      </c>
      <c r="P84" s="94">
        <f t="shared" si="18"/>
        <v>0</v>
      </c>
      <c r="Q84" s="180">
        <f t="shared" si="19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0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1"/>
        <v>0</v>
      </c>
      <c r="Z84">
        <f t="shared" si="15"/>
        <v>0</v>
      </c>
      <c r="AA84">
        <f t="shared" si="16"/>
        <v>0</v>
      </c>
      <c r="AC84" s="94">
        <f t="shared" si="22"/>
        <v>0</v>
      </c>
      <c r="AD84">
        <f>AC84*E84*10000*VLOOKUP(A84,[1]kcal!$A$2:$C$49,3,FALSE)/1000000000000</f>
        <v>0</v>
      </c>
    </row>
    <row r="85" spans="1:30" x14ac:dyDescent="0.55000000000000004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kcal'!$J$2:$K$19,2,FALSE),"")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7"/>
        <v>0</v>
      </c>
      <c r="P85" s="94">
        <f t="shared" si="18"/>
        <v>0</v>
      </c>
      <c r="Q85" s="180">
        <f t="shared" si="19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0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1"/>
        <v>0</v>
      </c>
      <c r="Z85">
        <f t="shared" si="15"/>
        <v>0</v>
      </c>
      <c r="AA85">
        <f t="shared" si="16"/>
        <v>0</v>
      </c>
      <c r="AC85" s="94">
        <f t="shared" si="22"/>
        <v>0</v>
      </c>
      <c r="AD85">
        <f>AC85*E85*10000*VLOOKUP(A85,[1]kcal!$A$2:$C$49,3,FALSE)/1000000000000</f>
        <v>0</v>
      </c>
    </row>
    <row r="86" spans="1:30" x14ac:dyDescent="0.55000000000000004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kcal'!$J$2:$K$19,2,FALSE),"")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3089251.4514141078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3089251.4514141078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3089251.4514141078</v>
      </c>
      <c r="AD86">
        <f>AC86*E86*10000*VLOOKUP(A86,[1]kcal!$A$2:$C$49,3,FALSE)/1000000000000</f>
        <v>0</v>
      </c>
    </row>
    <row r="87" spans="1:30" x14ac:dyDescent="0.55000000000000004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kcal'!$J$2:$K$19,2,FALSE),"")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630298.00584835303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630298.00584835303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630298.00584835303</v>
      </c>
      <c r="AD87">
        <f>AC87*E87*10000*VLOOKUP(A87,[1]kcal!$A$2:$C$49,3,FALSE)/1000000000000</f>
        <v>0</v>
      </c>
    </row>
    <row r="88" spans="1:30" x14ac:dyDescent="0.55000000000000004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kcal'!$J$2:$K$19,2,FALSE),"")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315149.00292417652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162355.24383392438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7"/>
        <v>152793.75909025213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si="15"/>
        <v>0</v>
      </c>
      <c r="AA88">
        <f t="shared" si="16"/>
        <v>1</v>
      </c>
      <c r="AC88" s="94">
        <f t="shared" si="22"/>
        <v>152793.75909025213</v>
      </c>
      <c r="AD88">
        <f>AC88*E88*10000*VLOOKUP(A88,[1]kcal!$A$2:$C$49,3,FALSE)/1000000000000</f>
        <v>0</v>
      </c>
    </row>
    <row r="89" spans="1:30" x14ac:dyDescent="0.55000000000000004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kcal'!$J$2:$K$19,2,FALSE),"")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201695.36187147297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201695.36187147297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201695.36187147297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7.0593376655015536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7.0593376655015536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201695.36187147297</v>
      </c>
      <c r="AD89">
        <f>AC89*E89*10000*VLOOKUP(A89,[1]kcal!$A$2:$C$49,3,FALSE)/1000000000000</f>
        <v>1.8152582568432569</v>
      </c>
    </row>
    <row r="90" spans="1:30" x14ac:dyDescent="0.55000000000000004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kcal'!$J$2:$K$19,2,FALSE),"")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2363452.7895286568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637872.69439353561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7"/>
        <v>1725580.0951351211</v>
      </c>
      <c r="P90" s="94">
        <f t="shared" si="18"/>
        <v>1725580.0951351211</v>
      </c>
      <c r="Q90" s="180">
        <f t="shared" si="19"/>
        <v>0</v>
      </c>
      <c r="R90">
        <f>IFERROR(VLOOKUP(A90,[1]Energiindhold!$A$2:$C$11,3,FALSE),IFERROR(VLOOKUP(A90,[1]Biogasudbytte!$A$2:$B$18,2,FALSE)*[1]Energiindhold!$C$10,0))*P90</f>
        <v>4.6832934014005243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4.6832934014005243</v>
      </c>
      <c r="T90">
        <f>IFERROR(VLOOKUP(A90,[1]Biogasudbytte!$A$2:$B$18,2,FALSE)*[1]Energiindhold!$C$10,0)*K90*IFERROR(VLOOKUP(A90,Biogasanlæg!$F$3:$G$8,2,FALSE),1)</f>
        <v>0</v>
      </c>
      <c r="U90" s="170">
        <f t="shared" si="20"/>
        <v>4.6832934014005243</v>
      </c>
      <c r="V90" s="169">
        <f>P90*IFERROR(VLOOKUP(A90,[1]Tørstofindhold!A$2:B$24,2,FALSE),0)</f>
        <v>345116.01902702427</v>
      </c>
      <c r="W90">
        <f>IF(F90=År1,Q90,SUM(P90,Q90))*IFERROR(VLOOKUP(A90,[1]Tørstofindhold!A$2:B$24,2,FALSE),0)</f>
        <v>345116.01902702427</v>
      </c>
      <c r="X90">
        <f>K90*IFERROR(VLOOKUP(A90,[1]Tørstofindhold!A$2:B$24,2,FALSE),0)</f>
        <v>0</v>
      </c>
      <c r="Y90" s="170">
        <f t="shared" si="21"/>
        <v>345116.01902702427</v>
      </c>
      <c r="Z90">
        <f t="shared" si="15"/>
        <v>0</v>
      </c>
      <c r="AA90">
        <f t="shared" si="16"/>
        <v>1</v>
      </c>
      <c r="AC90" s="94">
        <f t="shared" si="22"/>
        <v>1725580.0951351211</v>
      </c>
      <c r="AD90">
        <f>AC90*E90*10000*VLOOKUP(A90,[1]kcal!$A$2:$C$49,3,FALSE)/1000000000000</f>
        <v>0.51767402854053635</v>
      </c>
    </row>
    <row r="91" spans="1:30" x14ac:dyDescent="0.55000000000000004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kcal'!$J$2:$K$19,2,FALSE),"")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112106.64759676083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112106.64759676083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112106.64759676083</v>
      </c>
      <c r="AD91">
        <f>AC91*E91*10000*VLOOKUP(A91,[1]kcal!$A$2:$C$49,3,FALSE)/1000000000000</f>
        <v>0</v>
      </c>
    </row>
    <row r="92" spans="1:30" x14ac:dyDescent="0.55000000000000004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kcal'!$J$2:$K$19,2,FALSE),"")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77348.512186070526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29889.668320889847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7"/>
        <v>47458.843865180679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si="15"/>
        <v>0</v>
      </c>
      <c r="AA92">
        <f t="shared" si="16"/>
        <v>1</v>
      </c>
      <c r="AC92" s="94">
        <f t="shared" si="22"/>
        <v>47458.843865180679</v>
      </c>
      <c r="AD92">
        <f>AC92*E92*10000*VLOOKUP(A92,[1]kcal!$A$2:$C$49,3,FALSE)/1000000000000</f>
        <v>0</v>
      </c>
    </row>
    <row r="93" spans="1:30" x14ac:dyDescent="0.55000000000000004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kcal'!$J$2:$K$19,2,FALSE),"")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7264781.5587016549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5448586.1690262407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7"/>
        <v>1816195.3896754142</v>
      </c>
      <c r="P93" s="94">
        <f t="shared" si="18"/>
        <v>1816195.3896754142</v>
      </c>
      <c r="Q93" s="180">
        <f t="shared" si="19"/>
        <v>5448586.1690262407</v>
      </c>
      <c r="R93">
        <f>IFERROR(VLOOKUP(A93,[1]Energiindhold!$A$2:$C$11,3,FALSE),IFERROR(VLOOKUP(A93,[1]Biogasudbytte!$A$2:$B$18,2,FALSE)*[1]Energiindhold!$C$10,0))*P93</f>
        <v>0.90629966140192852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3.6251986456077132</v>
      </c>
      <c r="T93">
        <f>IFERROR(VLOOKUP(A93,[1]Biogasudbytte!$A$2:$B$18,2,FALSE)*[1]Energiindhold!$C$10,0)*K93*IFERROR(VLOOKUP(A93,Biogasanlæg!$F$3:$G$8,2,FALSE),1)</f>
        <v>2.7188989842057847</v>
      </c>
      <c r="U93" s="170">
        <f t="shared" si="20"/>
        <v>0.90629966140192852</v>
      </c>
      <c r="V93" s="169">
        <f>P93*IFERROR(VLOOKUP(A93,[1]Tørstofindhold!A$2:B$24,2,FALSE),0)</f>
        <v>108971.72338052485</v>
      </c>
      <c r="W93">
        <f>IF(F93=År1,Q93,SUM(P93,Q93))*IFERROR(VLOOKUP(A93,[1]Tørstofindhold!A$2:B$24,2,FALSE),0)</f>
        <v>435886.8935220993</v>
      </c>
      <c r="X93">
        <f>K93*IFERROR(VLOOKUP(A93,[1]Tørstofindhold!A$2:B$24,2,FALSE),0)</f>
        <v>326915.1701415744</v>
      </c>
      <c r="Y93" s="170">
        <f t="shared" si="21"/>
        <v>108971.7233805249</v>
      </c>
      <c r="Z93">
        <f t="shared" si="15"/>
        <v>0</v>
      </c>
      <c r="AA93">
        <f t="shared" si="16"/>
        <v>1</v>
      </c>
      <c r="AC93" s="94">
        <f t="shared" si="22"/>
        <v>1816195.3896754142</v>
      </c>
      <c r="AD93">
        <f>AC93*E93*10000*VLOOKUP(A93,[1]kcal!$A$2:$C$49,3,FALSE)/1000000000000</f>
        <v>0</v>
      </c>
    </row>
    <row r="94" spans="1:30" x14ac:dyDescent="0.55000000000000004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kcal'!$J$2:$K$19,2,FALSE),"")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7620454.8013354614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5715341.1010015961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1905113.7003338654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5715341.1010015961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2.462168946311488</v>
      </c>
      <c r="T94">
        <f>IFERROR(VLOOKUP(A94,[1]Biogasudbytte!$A$2:$B$18,2,FALSE)*[1]Energiindhold!$C$10,0)*K94*IFERROR(VLOOKUP(A94,Biogasanlæg!$F$3:$G$8,2,FALSE),1)</f>
        <v>2.462168946311488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285767.05505007983</v>
      </c>
      <c r="X94">
        <f>K94*IFERROR(VLOOKUP(A94,[1]Tørstofindhold!A$2:B$24,2,FALSE),0)</f>
        <v>285767.05505007983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55000000000000004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kcal'!$J$2:$K$19,2,FALSE),"")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824107.32783310371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596705.34393487545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824107.32783310371</v>
      </c>
      <c r="AD95">
        <f>AC95*E95*10000*VLOOKUP(A95,[1]kcal!$A$2:$C$49,3,FALSE)/1000000000000</f>
        <v>1.6070092892745522</v>
      </c>
    </row>
    <row r="96" spans="1:30" x14ac:dyDescent="0.55000000000000004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kcal'!$J$2:$K$19,2,FALSE),"")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7"/>
        <v>382.5</v>
      </c>
      <c r="P96" s="94">
        <f t="shared" si="18"/>
        <v>382.5</v>
      </c>
      <c r="Q96" s="180">
        <f t="shared" si="19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0"/>
        <v>3.4329375000000003E-4</v>
      </c>
      <c r="V96" s="169">
        <f>P96*IFERROR(VLOOKUP(A96,[1]Tørstofindhold!A$2:B$24,2,FALSE),0)</f>
        <v>57.375</v>
      </c>
      <c r="W96">
        <f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1"/>
        <v>57.375</v>
      </c>
      <c r="Z96">
        <f t="shared" si="15"/>
        <v>0</v>
      </c>
      <c r="AA96">
        <f t="shared" si="16"/>
        <v>1</v>
      </c>
      <c r="AC96" s="94">
        <f t="shared" si="22"/>
        <v>382.5</v>
      </c>
      <c r="AD96">
        <f>AC96*E96*10000*VLOOKUP(A96,[1]kcal!$A$2:$C$49,3,FALSE)/1000000000000</f>
        <v>1.5605999999999999E-4</v>
      </c>
    </row>
    <row r="97" spans="1:30" x14ac:dyDescent="0.55000000000000004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kcal'!$J$2:$K$19,2,FALSE),"")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55000000000000004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kcal'!$J$2:$K$19,2,FALSE),"")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2874839.9680931582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2874839.9680931582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2874839.9680931582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41.66669115626091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41.66669115626091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1421847.9342194078</v>
      </c>
      <c r="X98">
        <f>K98*IFERROR(VLOOKUP(A98,[1]Tørstofindhold!A$2:B$24,2,FALSE),0)</f>
        <v>0</v>
      </c>
      <c r="Y98" s="170">
        <f t="shared" ca="1" si="21"/>
        <v>1421847.9342194078</v>
      </c>
      <c r="Z98">
        <f t="shared" ca="1" si="15"/>
        <v>0</v>
      </c>
      <c r="AA98">
        <f t="shared" ca="1" si="16"/>
        <v>0</v>
      </c>
      <c r="AC98" s="94">
        <f t="shared" ca="1" si="22"/>
        <v>2874839.9680931582</v>
      </c>
      <c r="AD98">
        <f ca="1">AC98*E98*10000*VLOOKUP(A98,[1]kcal!$A$2:$C$49,3,FALSE)/1000000000000</f>
        <v>0</v>
      </c>
    </row>
    <row r="99" spans="1:30" x14ac:dyDescent="0.55000000000000004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kcal'!$J$2:$K$19,2,FALSE),"")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792057.93807476689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792057.93807476689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792057.93807476689</v>
      </c>
      <c r="AD99">
        <f ca="1">AC99*E99*10000*VLOOKUP(A99,[1]kcal!$A$2:$C$49,3,FALSE)/1000000000000</f>
        <v>0</v>
      </c>
    </row>
    <row r="100" spans="1:30" x14ac:dyDescent="0.55000000000000004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kcal'!$J$2:$K$19,2,FALSE),"")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42217.628788690155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-21164.34211785662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1</v>
      </c>
      <c r="AA100">
        <f t="shared" ref="AA100:AA131" si="25">IF(SUMIFS($O$4:$O$147,$A$4:$A$147,A100,$F$4:$F$147,F100)&gt;0,1,0)</f>
        <v>0</v>
      </c>
      <c r="AC100" s="94">
        <f t="shared" si="22"/>
        <v>42217.628788690155</v>
      </c>
      <c r="AD100">
        <f>AC100*E100*10000*VLOOKUP(A100,[1]kcal!$A$2:$C$49,3,FALSE)/1000000000000</f>
        <v>5.8260327728392416E-2</v>
      </c>
    </row>
    <row r="101" spans="1:30" x14ac:dyDescent="0.55000000000000004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kcal'!$J$2:$K$19,2,FALSE),"")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1919433.8379384452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6174.5010966237514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7"/>
        <v>1913259.3368418214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si="24"/>
        <v>0</v>
      </c>
      <c r="AA101">
        <f t="shared" si="25"/>
        <v>1</v>
      </c>
      <c r="AC101" s="94">
        <f t="shared" si="22"/>
        <v>1913259.3368418214</v>
      </c>
      <c r="AD101">
        <f>AC101*E101*10000*VLOOKUP(A101,[1]kcal!$A$2:$C$49,3,FALSE)/1000000000000</f>
        <v>13.28758609436645</v>
      </c>
    </row>
    <row r="102" spans="1:30" x14ac:dyDescent="0.55000000000000004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kcal'!$J$2:$K$19,2,FALSE),"")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55000000000000004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kcal'!$J$2:$K$19,2,FALSE),"")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235802537.76724285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235802537.76724285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235802537.76724285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235802537.76724285</v>
      </c>
      <c r="AD103">
        <f ca="1">AC103*E103*10000*VLOOKUP(A103,[1]kcal!$A$2:$C$49,3,FALSE)/1000000000000</f>
        <v>0</v>
      </c>
    </row>
    <row r="104" spans="1:30" x14ac:dyDescent="0.55000000000000004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kcal'!$J$2:$K$19,2,FALSE),"")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8313981.6995309032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843173.48136747919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7470808.2181634242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7470808.2181634242</v>
      </c>
      <c r="AD104">
        <f ca="1">AC104*E104*10000*VLOOKUP(A104,[1]kcal!$A$2:$C$49,3,FALSE)/1000000000000</f>
        <v>0</v>
      </c>
    </row>
    <row r="105" spans="1:30" x14ac:dyDescent="0.55000000000000004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kcal'!$J$2:$K$19,2,FALSE),"")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0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0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7"/>
        <v>0</v>
      </c>
      <c r="P105" s="94">
        <f t="shared" si="18"/>
        <v>0</v>
      </c>
      <c r="Q105" s="180">
        <f t="shared" si="19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0"/>
        <v>0</v>
      </c>
      <c r="V105" s="169">
        <f>P105*IFERROR(VLOOKUP(A105,[1]Tørstofindhold!A$2:B$24,2,FALSE),0)</f>
        <v>0</v>
      </c>
      <c r="W105">
        <f>IF(F105=År1,Q105,SUM(P105,Q105))*IFERROR(VLOOKUP(A105,[1]Tørstofindhold!A$2:B$24,2,FALSE),0)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1"/>
        <v>0</v>
      </c>
      <c r="Z105">
        <f t="shared" si="24"/>
        <v>0</v>
      </c>
      <c r="AA105">
        <f t="shared" si="25"/>
        <v>0</v>
      </c>
      <c r="AC105" s="94">
        <f t="shared" si="22"/>
        <v>0</v>
      </c>
      <c r="AD105">
        <f>AC105*E105*10000*VLOOKUP(A105,[1]kcal!$A$2:$C$49,3,FALSE)/1000000000000</f>
        <v>0</v>
      </c>
    </row>
    <row r="106" spans="1:30" x14ac:dyDescent="0.55000000000000004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kcal'!$J$2:$K$19,2,FALSE),"")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452335.6021929803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407102.0419736823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17124.13351159139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7"/>
        <v>28109.426707706589</v>
      </c>
      <c r="P106" s="94">
        <f t="shared" si="18"/>
        <v>28109.426707706589</v>
      </c>
      <c r="Q106" s="180">
        <f t="shared" si="19"/>
        <v>407102.0419736823</v>
      </c>
      <c r="R106">
        <f>IFERROR(VLOOKUP(A106,[1]Energiindhold!$A$2:$C$11,3,FALSE),IFERROR(VLOOKUP(A106,[1]Biogasudbytte!$A$2:$B$18,2,FALSE)*[1]Energiindhold!$C$10,0))*P106</f>
        <v>6.0547705128399992E-2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0.93744550353971168</v>
      </c>
      <c r="T106">
        <f>IFERROR(VLOOKUP(A106,[1]Biogasudbytte!$A$2:$B$18,2,FALSE)*[1]Energiindhold!$C$10,0)*K106*IFERROR(VLOOKUP(A106,Biogasanlæg!$F$3:$G$8,2,FALSE),1)</f>
        <v>0.87689779841131166</v>
      </c>
      <c r="U106" s="170">
        <f t="shared" si="20"/>
        <v>6.054770512840002E-2</v>
      </c>
      <c r="V106" s="169">
        <f>P106*IFERROR(VLOOKUP(A106,[1]Tørstofindhold!A$2:B$24,2,FALSE),0)</f>
        <v>8432.8280123119766</v>
      </c>
      <c r="W106">
        <f>IF(F106=År1,Q106,SUM(P106,Q106))*IFERROR(VLOOKUP(A106,[1]Tørstofindhold!A$2:B$24,2,FALSE),0)</f>
        <v>130563.44060441665</v>
      </c>
      <c r="X106">
        <f>K106*IFERROR(VLOOKUP(A106,[1]Tørstofindhold!A$2:B$24,2,FALSE),0)</f>
        <v>122130.61259210468</v>
      </c>
      <c r="Y106" s="170">
        <f t="shared" si="21"/>
        <v>8432.8280123119766</v>
      </c>
      <c r="Z106">
        <f t="shared" si="24"/>
        <v>0</v>
      </c>
      <c r="AA106">
        <f t="shared" si="25"/>
        <v>1</v>
      </c>
      <c r="AC106" s="94">
        <f t="shared" si="22"/>
        <v>28109.426707706589</v>
      </c>
      <c r="AD106">
        <f>AC106*E106*10000*VLOOKUP(A106,[1]kcal!$A$2:$C$49,3,FALSE)/1000000000000</f>
        <v>0</v>
      </c>
    </row>
    <row r="107" spans="1:30" x14ac:dyDescent="0.55000000000000004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kcal'!$J$2:$K$19,2,FALSE),"")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0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0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7"/>
        <v>0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si="24"/>
        <v>0</v>
      </c>
      <c r="AA107">
        <f t="shared" si="25"/>
        <v>0</v>
      </c>
      <c r="AC107" s="94">
        <f t="shared" si="22"/>
        <v>0</v>
      </c>
      <c r="AD107">
        <f>AC107*E107*10000*VLOOKUP(A107,[1]kcal!$A$2:$C$49,3,FALSE)/1000000000000</f>
        <v>0</v>
      </c>
    </row>
    <row r="108" spans="1:30" x14ac:dyDescent="0.55000000000000004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kcal'!$J$2:$K$19,2,FALSE),"")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6089.9666820052507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5480.9700138047265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608.99666820052505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7"/>
        <v>0</v>
      </c>
      <c r="P108" s="94">
        <f t="shared" si="18"/>
        <v>0</v>
      </c>
      <c r="Q108" s="180">
        <f t="shared" si="19"/>
        <v>5480.9700138047265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2.5776453877922249E-3</v>
      </c>
      <c r="T108">
        <f>IFERROR(VLOOKUP(A108,[1]Biogasudbytte!$A$2:$B$18,2,FALSE)*[1]Energiindhold!$C$10,0)*K108*IFERROR(VLOOKUP(A108,Biogasanlæg!$F$3:$G$8,2,FALSE),1)</f>
        <v>2.5776453877922249E-3</v>
      </c>
      <c r="U108" s="170">
        <f t="shared" si="20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345.30111086969777</v>
      </c>
      <c r="X108">
        <f>K108*IFERROR(VLOOKUP(A108,[1]Tørstofindhold!A$2:B$24,2,FALSE),0)</f>
        <v>345.30111086969777</v>
      </c>
      <c r="Y108" s="170">
        <f t="shared" si="21"/>
        <v>0</v>
      </c>
      <c r="Z108">
        <f t="shared" si="24"/>
        <v>0</v>
      </c>
      <c r="AA108">
        <f t="shared" si="25"/>
        <v>0</v>
      </c>
      <c r="AC108" s="94">
        <f t="shared" si="22"/>
        <v>0</v>
      </c>
      <c r="AD108">
        <f>AC108*E108*10000*VLOOKUP(A108,[1]kcal!$A$2:$C$49,3,FALSE)/1000000000000</f>
        <v>0</v>
      </c>
    </row>
    <row r="109" spans="1:30" x14ac:dyDescent="0.55000000000000004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kcal'!$J$2:$K$19,2,FALSE),"")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6505.3390543143432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-62158.462761111325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1</v>
      </c>
      <c r="AA109">
        <f t="shared" si="25"/>
        <v>0</v>
      </c>
      <c r="AC109" s="94">
        <f t="shared" si="22"/>
        <v>6505.3390543143432</v>
      </c>
      <c r="AD109">
        <f>AC109*E109*10000*VLOOKUP(A109,[1]kcal!$A$2:$C$49,3,FALSE)/1000000000000</f>
        <v>9.8881153625578009E-3</v>
      </c>
    </row>
    <row r="110" spans="1:30" x14ac:dyDescent="0.55000000000000004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kcal'!$J$2:$K$19,2,FALSE),"")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7956.3105810060788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7956.3105810060788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7956.3105810060788</v>
      </c>
      <c r="AD110">
        <f>AC110*E110*10000*VLOOKUP(A110,[1]kcal!$A$2:$C$49,3,FALSE)/1000000000000</f>
        <v>0</v>
      </c>
    </row>
    <row r="111" spans="1:30" x14ac:dyDescent="0.55000000000000004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kcal'!$J$2:$K$19,2,FALSE),"")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2354707.4039920969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1852933.4676486016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0</v>
      </c>
      <c r="AA111">
        <f t="shared" si="25"/>
        <v>1</v>
      </c>
      <c r="AC111" s="94">
        <f t="shared" si="22"/>
        <v>2354707.4039920969</v>
      </c>
      <c r="AD111">
        <f>AC111*E111*10000*VLOOKUP(A111,[1]kcal!$A$2:$C$49,3,FALSE)/1000000000000</f>
        <v>1.2244478500758904</v>
      </c>
    </row>
    <row r="112" spans="1:30" x14ac:dyDescent="0.55000000000000004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kcal'!$J$2:$K$19,2,FALSE),"")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55000000000000004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kcal'!$J$2:$K$19,2,FALSE),"")</f>
        <v>Korn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>E65</f>
        <v>1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36051687.427182481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1171525.8261246812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0</v>
      </c>
      <c r="O113" s="179">
        <f t="shared" si="17"/>
        <v>34880161.601057798</v>
      </c>
      <c r="P113" s="94">
        <f t="shared" si="18"/>
        <v>34880161.601057798</v>
      </c>
      <c r="Q113" s="180">
        <f t="shared" si="19"/>
        <v>0</v>
      </c>
      <c r="R113">
        <f>IFERROR(VLOOKUP(A113,[1]Energiindhold!$A$2:$C$11,3,FALSE),IFERROR(VLOOKUP(A113,[1]Biogasudbytte!$A$2:$B$18,2,FALSE)*[1]Energiindhold!$C$10,0))*P113</f>
        <v>64.175137325746221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64.175137325746221</v>
      </c>
      <c r="T113">
        <f>IFERROR(VLOOKUP(A113,[1]Biogasudbytte!$A$2:$B$18,2,FALSE)*[1]Energiindhold!$C$10,0)*K113*IFERROR(VLOOKUP(A113,Biogasanlæg!$F$3:$G$8,2,FALSE),1)</f>
        <v>0</v>
      </c>
      <c r="U113" s="170">
        <f t="shared" si="20"/>
        <v>64.175137325746221</v>
      </c>
      <c r="V113" s="169">
        <f>P113*IFERROR(VLOOKUP(A113,[1]Tørstofindhold!A$2:B$24,2,FALSE),0)</f>
        <v>9766445.2482961845</v>
      </c>
      <c r="W113">
        <f>IF(F113=År1,Q113,SUM(P113,Q113))*IFERROR(VLOOKUP(A113,[1]Tørstofindhold!A$2:B$24,2,FALSE),0)</f>
        <v>9766445.2482961845</v>
      </c>
      <c r="X113">
        <f>K113*IFERROR(VLOOKUP(A113,[1]Tørstofindhold!A$2:B$24,2,FALSE),0)</f>
        <v>0</v>
      </c>
      <c r="Y113" s="170">
        <f t="shared" si="21"/>
        <v>9766445.2482961845</v>
      </c>
      <c r="Z113">
        <f t="shared" si="24"/>
        <v>0</v>
      </c>
      <c r="AA113">
        <f t="shared" si="25"/>
        <v>1</v>
      </c>
      <c r="AC113" s="94">
        <f t="shared" si="22"/>
        <v>34880161.601057798</v>
      </c>
      <c r="AD113">
        <f>AC113*E113*10000*VLOOKUP(A113,[1]kcal!$A$2:$C$49,3,FALSE)/1000000000000</f>
        <v>0</v>
      </c>
    </row>
    <row r="114" spans="1:30" x14ac:dyDescent="0.55000000000000004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kcal'!$J$2:$K$19,2,FALSE),"")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0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0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si="24"/>
        <v>0</v>
      </c>
      <c r="AA114">
        <f t="shared" si="25"/>
        <v>0</v>
      </c>
      <c r="AC114" s="94">
        <f t="shared" si="22"/>
        <v>0</v>
      </c>
      <c r="AD114">
        <f>AC114*E114*10000*VLOOKUP(A114,[1]kcal!$A$2:$C$49,3,FALSE)/1000000000000</f>
        <v>0</v>
      </c>
    </row>
    <row r="115" spans="1:30" x14ac:dyDescent="0.55000000000000004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kcal'!$J$2:$K$19,2,FALSE),"")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4695547.6145715425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4170005.4391380921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0</v>
      </c>
      <c r="AA115">
        <f t="shared" si="25"/>
        <v>1</v>
      </c>
      <c r="AC115" s="94">
        <f t="shared" si="22"/>
        <v>4695547.6145715425</v>
      </c>
      <c r="AD115">
        <f>AC115*E115*10000*VLOOKUP(A115,[1]kcal!$A$2:$C$49,3,FALSE)/1000000000000</f>
        <v>1.8312635696829016</v>
      </c>
    </row>
    <row r="116" spans="1:30" x14ac:dyDescent="0.55000000000000004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kcal'!$J$2:$K$19,2,FALSE),"")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1459885.6966900979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74008.256199809693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57201.593560476802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1328675.8469298114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7"/>
        <v>0</v>
      </c>
      <c r="P116" s="94">
        <f t="shared" si="18"/>
        <v>0</v>
      </c>
      <c r="Q116" s="180">
        <f t="shared" si="19"/>
        <v>1328675.8469298114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13.732936241351867</v>
      </c>
      <c r="T116">
        <f>IFERROR(VLOOKUP(A116,[1]Biogasudbytte!$A$2:$B$18,2,FALSE)*[1]Energiindhold!$C$10,0)*K116*IFERROR(VLOOKUP(A116,Biogasanlæg!$F$3:$G$8,2,FALSE),1)</f>
        <v>0</v>
      </c>
      <c r="U116" s="170">
        <f t="shared" si="20"/>
        <v>13.732936241351867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1129374.4698903398</v>
      </c>
      <c r="X116">
        <f>K116*IFERROR(VLOOKUP(A116,[1]Tørstofindhold!A$2:B$24,2,FALSE),0)</f>
        <v>0</v>
      </c>
      <c r="Y116" s="170">
        <f t="shared" si="21"/>
        <v>1129374.4698903398</v>
      </c>
      <c r="Z116">
        <f t="shared" si="24"/>
        <v>0</v>
      </c>
      <c r="AA116">
        <f t="shared" si="25"/>
        <v>0</v>
      </c>
      <c r="AC116" s="94">
        <f t="shared" si="22"/>
        <v>1328675.8469298114</v>
      </c>
      <c r="AD116">
        <f>AC116*E116*10000*VLOOKUP(A116,[1]kcal!$A$2:$C$49,3,FALSE)/1000000000000</f>
        <v>0</v>
      </c>
    </row>
    <row r="117" spans="1:30" x14ac:dyDescent="0.55000000000000004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kcal'!$J$2:$K$19,2,FALSE),"")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55000000000000004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kcal'!$J$2:$K$19,2,FALSE),"")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462230.0126500281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7"/>
        <v>-462230.0126500281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si="24"/>
        <v>1</v>
      </c>
      <c r="AA118">
        <f t="shared" si="25"/>
        <v>0</v>
      </c>
      <c r="AC118" s="94">
        <f t="shared" si="22"/>
        <v>-462230.0126500281</v>
      </c>
      <c r="AD118">
        <f>AC118*E118*10000*VLOOKUP(A118,[1]kcal!$A$2:$C$49,3,FALSE)/1000000000000</f>
        <v>-0.26347110721051603</v>
      </c>
    </row>
    <row r="119" spans="1:30" x14ac:dyDescent="0.55000000000000004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kcal'!$J$2:$K$19,2,FALSE),"")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382368.42148557794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7"/>
        <v>382368.42148557794</v>
      </c>
      <c r="P119" s="94">
        <f t="shared" si="18"/>
        <v>382368.42148557794</v>
      </c>
      <c r="Q119" s="180">
        <f t="shared" si="19"/>
        <v>0</v>
      </c>
      <c r="R119">
        <f>IFERROR(VLOOKUP(A119,[1]Energiindhold!$A$2:$C$11,3,FALSE),IFERROR(VLOOKUP(A119,[1]Biogasudbytte!$A$2:$B$18,2,FALSE)*[1]Energiindhold!$C$10,0))*P119</f>
        <v>1.6568520781918026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1.6568520781918026</v>
      </c>
      <c r="T119">
        <f>IFERROR(VLOOKUP(A119,[1]Biogasudbytte!$A$2:$B$18,2,FALSE)*[1]Energiindhold!$C$10,0)*K119*IFERROR(VLOOKUP(A119,Biogasanlæg!$F$3:$G$8,2,FALSE),1)</f>
        <v>0</v>
      </c>
      <c r="U119" s="170">
        <f t="shared" si="20"/>
        <v>1.6568520781918026</v>
      </c>
      <c r="V119" s="169">
        <f>P119*IFERROR(VLOOKUP(A119,[1]Tørstofindhold!A$2:B$24,2,FALSE),0)</f>
        <v>160594.73702394273</v>
      </c>
      <c r="W119">
        <f>IF(F119=År1,Q119,SUM(P119,Q119))*IFERROR(VLOOKUP(A119,[1]Tørstofindhold!A$2:B$24,2,FALSE),0)</f>
        <v>160594.73702394273</v>
      </c>
      <c r="X119">
        <f>K119*IFERROR(VLOOKUP(A119,[1]Tørstofindhold!A$2:B$24,2,FALSE),0)</f>
        <v>0</v>
      </c>
      <c r="Y119" s="170">
        <f t="shared" si="21"/>
        <v>160594.73702394273</v>
      </c>
      <c r="Z119">
        <f t="shared" si="24"/>
        <v>0</v>
      </c>
      <c r="AA119">
        <f t="shared" si="25"/>
        <v>1</v>
      </c>
      <c r="AC119" s="94">
        <f t="shared" si="22"/>
        <v>382368.42148557794</v>
      </c>
      <c r="AD119">
        <f>AC119*E119*10000*VLOOKUP(A119,[1]kcal!$A$2:$C$49,3,FALSE)/1000000000000</f>
        <v>0</v>
      </c>
    </row>
    <row r="120" spans="1:30" x14ac:dyDescent="0.55000000000000004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kcal'!$J$2:$K$19,2,FALSE),"")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756682.92027104762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756682.92027104762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756682.92027104762</v>
      </c>
      <c r="AD120">
        <f>AC120*E120*10000*VLOOKUP(A120,[1]kcal!$A$2:$C$49,3,FALSE)/1000000000000</f>
        <v>0</v>
      </c>
    </row>
    <row r="121" spans="1:30" x14ac:dyDescent="0.55000000000000004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kcal'!$J$2:$K$19,2,FALSE),"")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6755.786859535805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7"/>
        <v>-233567.51949445406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si="24"/>
        <v>1</v>
      </c>
      <c r="AA121">
        <f t="shared" si="25"/>
        <v>0</v>
      </c>
      <c r="AC121" s="94">
        <f t="shared" si="22"/>
        <v>6755.786859535805</v>
      </c>
      <c r="AD121">
        <f>AC121*E121*10000*VLOOKUP(A121,[1]kcal!$A$2:$C$49,3,FALSE)/1000000000000</f>
        <v>5.2695137504379271E-3</v>
      </c>
    </row>
    <row r="122" spans="1:30" x14ac:dyDescent="0.55000000000000004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kcal'!$J$2:$K$19,2,FALSE),"")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21089.521528048594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562822.92634918995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7"/>
        <v>-1117452.9738889411</v>
      </c>
      <c r="P122" s="94">
        <f t="shared" si="18"/>
        <v>0</v>
      </c>
      <c r="Q122" s="180">
        <f t="shared" si="19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0"/>
        <v>0</v>
      </c>
      <c r="V122" s="169">
        <f>P122*IFERROR(VLOOKUP(A122,[1]Tørstofindhold!A$2:B$24,2,FALSE),0)</f>
        <v>0</v>
      </c>
      <c r="W122">
        <f>IF(F122=År1,Q122,SUM(P122,Q122))*IFERROR(VLOOKUP(A122,[1]Tørstofindhold!A$2:B$24,2,FALSE),0)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1"/>
        <v>0</v>
      </c>
      <c r="Z122">
        <f t="shared" si="24"/>
        <v>1</v>
      </c>
      <c r="AA122">
        <f t="shared" si="25"/>
        <v>0</v>
      </c>
      <c r="AC122" s="94">
        <f t="shared" si="22"/>
        <v>-541733.40482114139</v>
      </c>
      <c r="AD122">
        <f>AC122*E122*10000*VLOOKUP(A122,[1]kcal!$A$2:$C$49,3,FALSE)/1000000000000</f>
        <v>-1.9827442616453776</v>
      </c>
    </row>
    <row r="123" spans="1:30" x14ac:dyDescent="0.55000000000000004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kcal'!$J$2:$K$19,2,FALSE),"")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4104326.2954310672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-4104326.2954310672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-4104326.2954310672</v>
      </c>
      <c r="AD123">
        <f ca="1">AC123*E123*10000*VLOOKUP(A123,[1]kcal!$A$2:$C$49,3,FALSE)/1000000000000</f>
        <v>0</v>
      </c>
    </row>
    <row r="124" spans="1:30" x14ac:dyDescent="0.55000000000000004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kcal'!$J$2:$K$19,2,FALSE),"")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840620.71603045263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756558.64442740742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84062.071603045246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7"/>
        <v>0</v>
      </c>
      <c r="P124" s="94">
        <f t="shared" si="18"/>
        <v>0</v>
      </c>
      <c r="Q124" s="180">
        <f t="shared" si="19"/>
        <v>756558.64442740742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0.38296242022270943</v>
      </c>
      <c r="T124">
        <f>IFERROR(VLOOKUP(A124,[1]Biogasudbytte!$A$2:$B$18,2,FALSE)*[1]Energiindhold!$C$10,0)*K124*IFERROR(VLOOKUP(A124,Biogasanlæg!$F$3:$G$8,2,FALSE),1)</f>
        <v>0.38296242022270943</v>
      </c>
      <c r="U124" s="170">
        <f t="shared" si="20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57498.456976482965</v>
      </c>
      <c r="X124">
        <f>K124*IFERROR(VLOOKUP(A124,[1]Tørstofindhold!A$2:B$24,2,FALSE),0)</f>
        <v>57498.456976482965</v>
      </c>
      <c r="Y124" s="170">
        <f t="shared" si="21"/>
        <v>0</v>
      </c>
      <c r="Z124">
        <f t="shared" si="24"/>
        <v>0</v>
      </c>
      <c r="AA124">
        <f t="shared" si="25"/>
        <v>0</v>
      </c>
      <c r="AC124" s="94">
        <f t="shared" si="22"/>
        <v>0</v>
      </c>
      <c r="AD124">
        <f>AC124*E124*10000*VLOOKUP(A124,[1]kcal!$A$2:$C$49,3,FALSE)/1000000000000</f>
        <v>0</v>
      </c>
    </row>
    <row r="125" spans="1:30" x14ac:dyDescent="0.55000000000000004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kcal'!$J$2:$K$19,2,FALSE),"")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106866.67914708829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145100.77577065813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7"/>
        <v>-38234.096623569843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si="24"/>
        <v>1</v>
      </c>
      <c r="AA125">
        <f t="shared" si="25"/>
        <v>0</v>
      </c>
      <c r="AC125" s="94">
        <f t="shared" si="22"/>
        <v>-38234.096623569843</v>
      </c>
      <c r="AD125">
        <f>AC125*E125*10000*VLOOKUP(A125,[1]kcal!$A$2:$C$49,3,FALSE)/1000000000000</f>
        <v>0</v>
      </c>
    </row>
    <row r="126" spans="1:30" x14ac:dyDescent="0.55000000000000004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kcal'!$J$2:$K$19,2,FALSE),"")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25060.615390659139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541555.20034970809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7"/>
        <v>-516494.58495904895</v>
      </c>
      <c r="P126" s="94">
        <f t="shared" si="18"/>
        <v>0</v>
      </c>
      <c r="Q126" s="180">
        <f t="shared" si="19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0"/>
        <v>0</v>
      </c>
      <c r="V126" s="169">
        <f>P126*IFERROR(VLOOKUP(A126,[1]Tørstofindhold!A$2:B$24,2,FALSE),0)</f>
        <v>0</v>
      </c>
      <c r="W126">
        <f>IF(F126=År1,Q126,SUM(P126,Q126))*IFERROR(VLOOKUP(A126,[1]Tørstofindhold!A$2:B$24,2,FALSE),0)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1"/>
        <v>0</v>
      </c>
      <c r="Z126">
        <f t="shared" si="24"/>
        <v>1</v>
      </c>
      <c r="AA126">
        <f t="shared" si="25"/>
        <v>0</v>
      </c>
      <c r="AC126" s="94">
        <f t="shared" si="22"/>
        <v>-516494.58495904895</v>
      </c>
      <c r="AD126">
        <f>AC126*E126*10000*VLOOKUP(A126,[1]kcal!$A$2:$C$49,3,FALSE)/1000000000000</f>
        <v>-0.47001007231273456</v>
      </c>
    </row>
    <row r="127" spans="1:30" x14ac:dyDescent="0.55000000000000004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kcal'!$J$2:$K$19,2,FALSE),"")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206197.22808631693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-712841.35005861125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1</v>
      </c>
      <c r="AA127">
        <f t="shared" si="25"/>
        <v>0</v>
      </c>
      <c r="AC127" s="94">
        <f t="shared" si="22"/>
        <v>206197.22808631693</v>
      </c>
      <c r="AD127">
        <f>AC127*E127*10000*VLOOKUP(A127,[1]kcal!$A$2:$C$49,3,FALSE)/1000000000000</f>
        <v>0.12990425369437966</v>
      </c>
    </row>
    <row r="128" spans="1:30" x14ac:dyDescent="0.55000000000000004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kcal'!$J$2:$K$19,2,FALSE),"")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7"/>
        <v>880.09999999999991</v>
      </c>
      <c r="P128" s="94">
        <f t="shared" si="18"/>
        <v>880.09999999999991</v>
      </c>
      <c r="Q128" s="180">
        <f t="shared" si="19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0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1"/>
        <v>132.01499999999999</v>
      </c>
      <c r="Z128">
        <f t="shared" si="24"/>
        <v>0</v>
      </c>
      <c r="AA128">
        <f t="shared" si="25"/>
        <v>1</v>
      </c>
      <c r="AC128" s="94">
        <f t="shared" si="22"/>
        <v>880.09999999999991</v>
      </c>
      <c r="AD128">
        <f>AC128*E128*10000*VLOOKUP(A128,[1]kcal!$A$2:$C$49,3,FALSE)/1000000000000</f>
        <v>7.3048299999999998E-4</v>
      </c>
    </row>
    <row r="129" spans="1:30" x14ac:dyDescent="0.55000000000000004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kcal'!$J$2:$K$19,2,FALSE),"")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3877.9934653468558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-112903.28792996558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3877.9934653468558</v>
      </c>
      <c r="AD129">
        <f>AC129*E129*10000*VLOOKUP(A129,[1]kcal!$A$2:$C$49,3,FALSE)/1000000000000</f>
        <v>7.5620872574263687E-3</v>
      </c>
    </row>
    <row r="130" spans="1:30" x14ac:dyDescent="0.55000000000000004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kcal'!$J$2:$K$19,2,FALSE),"")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5375.3604753848949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5375.3604753848949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5375.3604753848949</v>
      </c>
      <c r="AD130">
        <f>AC130*E130*10000*VLOOKUP(A130,[1]kcal!$A$2:$C$49,3,FALSE)/1000000000000</f>
        <v>2.0963905854001091E-3</v>
      </c>
    </row>
    <row r="131" spans="1:30" x14ac:dyDescent="0.55000000000000004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kcal'!$J$2:$K$19,2,FALSE),"")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143523.94669780202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143523.94669780202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143523.94669780202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2.6408406192395568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2.6408406192395568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59562.437879587844</v>
      </c>
      <c r="X131">
        <f>K131*IFERROR(VLOOKUP(A131,[1]Tørstofindhold!A$2:B$24,2,FALSE),0)</f>
        <v>0</v>
      </c>
      <c r="Y131" s="170">
        <f t="shared" si="21"/>
        <v>59562.437879587844</v>
      </c>
      <c r="Z131">
        <f t="shared" si="24"/>
        <v>0</v>
      </c>
      <c r="AA131">
        <f t="shared" si="25"/>
        <v>0</v>
      </c>
      <c r="AC131" s="94">
        <f t="shared" si="22"/>
        <v>143523.94669780202</v>
      </c>
      <c r="AD131">
        <f>AC131*E131*10000*VLOOKUP(A131,[1]kcal!$A$2:$C$49,3,FALSE)/1000000000000</f>
        <v>0</v>
      </c>
    </row>
    <row r="132" spans="1:30" x14ac:dyDescent="0.55000000000000004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kcal'!$J$2:$K$19,2,FALSE),"")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7"/>
        <v>0</v>
      </c>
      <c r="P132" s="94">
        <f t="shared" si="18"/>
        <v>0</v>
      </c>
      <c r="Q132" s="180">
        <f t="shared" si="19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0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1"/>
        <v>0</v>
      </c>
      <c r="Z132">
        <f t="shared" ref="Z132:Z147" si="29">IF(SUMIFS($O$4:$O$147,$A$4:$A$147,A132,$F$4:$F$147,F132)&lt;0,1,0)</f>
        <v>0</v>
      </c>
      <c r="AA132">
        <f t="shared" ref="AA132:AA147" si="30">IF(SUMIFS($O$4:$O$147,$A$4:$A$147,A132,$F$4:$F$147,F132)&gt;0,1,0)</f>
        <v>0</v>
      </c>
      <c r="AC132" s="94">
        <f t="shared" si="22"/>
        <v>0</v>
      </c>
      <c r="AD132">
        <f>AC132*E132*10000*VLOOKUP(A132,[1]kcal!$A$2:$C$49,3,FALSE)/1000000000000</f>
        <v>0</v>
      </c>
    </row>
    <row r="133" spans="1:30" x14ac:dyDescent="0.55000000000000004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kcal'!$J$2:$K$19,2,FALSE),"")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7"/>
        <v>0</v>
      </c>
      <c r="P133" s="94">
        <f t="shared" ref="P133:P147" si="31">IF(D133=1,MAX(O133,0),0)</f>
        <v>0</v>
      </c>
      <c r="Q133" s="180">
        <f t="shared" si="19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0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1"/>
        <v>0</v>
      </c>
      <c r="Z133">
        <f t="shared" si="29"/>
        <v>0</v>
      </c>
      <c r="AA133">
        <f t="shared" si="30"/>
        <v>0</v>
      </c>
      <c r="AC133" s="94">
        <f t="shared" ref="AC133:AC147" si="32">G133-SUMPRODUCT($H$2:$N$2,H133:N133)</f>
        <v>0</v>
      </c>
      <c r="AD133">
        <f>AC133*E133*10000*VLOOKUP(A133,[1]kcal!$A$2:$C$49,3,FALSE)/1000000000000</f>
        <v>0</v>
      </c>
    </row>
    <row r="134" spans="1:30" x14ac:dyDescent="0.55000000000000004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kcal'!$J$2:$K$19,2,FALSE),"")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321091.18690605665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321091.18690605665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1</v>
      </c>
      <c r="AC134" s="94">
        <f t="shared" si="32"/>
        <v>321091.18690605665</v>
      </c>
      <c r="AD134">
        <f>AC134*E134*10000*VLOOKUP(A134,[1]kcal!$A$2:$C$49,3,FALSE)/1000000000000</f>
        <v>0</v>
      </c>
    </row>
    <row r="135" spans="1:30" x14ac:dyDescent="0.55000000000000004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kcal'!$J$2:$K$19,2,FALSE),"")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1308440.3262549867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1308440.3262549867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1308440.3262549867</v>
      </c>
      <c r="AD135">
        <f>AC135*E135*10000*VLOOKUP(A135,[1]kcal!$A$2:$C$49,3,FALSE)/1000000000000</f>
        <v>0</v>
      </c>
    </row>
    <row r="136" spans="1:30" x14ac:dyDescent="0.55000000000000004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kcal'!$J$2:$K$19,2,FALSE),"")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654220.16312749335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20495.91336240384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3"/>
        <v>633724.24976508948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si="29"/>
        <v>0</v>
      </c>
      <c r="AA136">
        <f t="shared" si="30"/>
        <v>1</v>
      </c>
      <c r="AC136" s="94">
        <f t="shared" si="32"/>
        <v>633724.24976508948</v>
      </c>
      <c r="AD136">
        <f>AC136*E136*10000*VLOOKUP(A136,[1]kcal!$A$2:$C$49,3,FALSE)/1000000000000</f>
        <v>0</v>
      </c>
    </row>
    <row r="137" spans="1:30" x14ac:dyDescent="0.55000000000000004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kcal'!$J$2:$K$19,2,FALSE),"")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418700.9044015957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418700.9044015957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418700.9044015957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14.654531654055848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14.654531654055848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418700.9044015957</v>
      </c>
      <c r="AD137">
        <f>AC137*E137*10000*VLOOKUP(A137,[1]kcal!$A$2:$C$49,3,FALSE)/1000000000000</f>
        <v>3.7683081396143612</v>
      </c>
    </row>
    <row r="138" spans="1:30" x14ac:dyDescent="0.55000000000000004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kcal'!$J$2:$K$19,2,FALSE),"")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1479.8398726380365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80525.785135134764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3"/>
        <v>-79045.945262496723</v>
      </c>
      <c r="P138" s="94">
        <f t="shared" si="31"/>
        <v>0</v>
      </c>
      <c r="Q138" s="180">
        <f t="shared" si="34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35"/>
        <v>0</v>
      </c>
      <c r="V138" s="169">
        <f>P138*IFERROR(VLOOKUP(A138,[1]Tørstofindhold!A$2:B$24,2,FALSE),0)</f>
        <v>0</v>
      </c>
      <c r="W138">
        <f>IF(F138=År1,Q138,SUM(P138,Q138))*IFERROR(VLOOKUP(A138,[1]Tørstofindhold!A$2:B$24,2,FALSE),0)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36"/>
        <v>0</v>
      </c>
      <c r="Z138">
        <f t="shared" si="29"/>
        <v>1</v>
      </c>
      <c r="AA138">
        <f t="shared" si="30"/>
        <v>0</v>
      </c>
      <c r="AC138" s="94">
        <f t="shared" si="32"/>
        <v>-79045.945262496723</v>
      </c>
      <c r="AD138">
        <f>AC138*E138*10000*VLOOKUP(A138,[1]kcal!$A$2:$C$49,3,FALSE)/1000000000000</f>
        <v>-2.3713783578749016E-2</v>
      </c>
    </row>
    <row r="139" spans="1:30" x14ac:dyDescent="0.55000000000000004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kcal'!$J$2:$K$19,2,FALSE),"")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5859.9303124103544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5859.9303124103544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5859.9303124103544</v>
      </c>
      <c r="AD139">
        <f>AC139*E139*10000*VLOOKUP(A139,[1]kcal!$A$2:$C$49,3,FALSE)/1000000000000</f>
        <v>0</v>
      </c>
    </row>
    <row r="140" spans="1:30" x14ac:dyDescent="0.55000000000000004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kcal'!$J$2:$K$19,2,FALSE),"")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3600.9792095180228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3773.3062257145148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3"/>
        <v>-172.32701619649197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si="29"/>
        <v>1</v>
      </c>
      <c r="AA140">
        <f t="shared" si="30"/>
        <v>0</v>
      </c>
      <c r="AC140" s="94">
        <f t="shared" si="32"/>
        <v>-172.32701619649197</v>
      </c>
      <c r="AD140">
        <f>AC140*E140*10000*VLOOKUP(A140,[1]kcal!$A$2:$C$49,3,FALSE)/1000000000000</f>
        <v>0</v>
      </c>
    </row>
    <row r="141" spans="1:30" x14ac:dyDescent="0.55000000000000004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kcal'!$J$2:$K$19,2,FALSE),"")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7502149.0435823034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6751934.1392240729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3"/>
        <v>750214.90435823053</v>
      </c>
      <c r="P141" s="94">
        <f t="shared" si="31"/>
        <v>750214.90435823053</v>
      </c>
      <c r="Q141" s="180">
        <f t="shared" si="34"/>
        <v>6751934.1392240729</v>
      </c>
      <c r="R141">
        <f>IFERROR(VLOOKUP(A141,[1]Energiindhold!$A$2:$C$11,3,FALSE),IFERROR(VLOOKUP(A141,[1]Biogasudbytte!$A$2:$B$18,2,FALSE)*[1]Energiindhold!$C$10,0))*P141</f>
        <v>0.37436473942380066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3.743647394238006</v>
      </c>
      <c r="T141">
        <f>IFERROR(VLOOKUP(A141,[1]Biogasudbytte!$A$2:$B$18,2,FALSE)*[1]Energiindhold!$C$10,0)*K141*IFERROR(VLOOKUP(A141,Biogasanlæg!$F$3:$G$8,2,FALSE),1)</f>
        <v>3.3692826548142052</v>
      </c>
      <c r="U141" s="170">
        <f t="shared" si="35"/>
        <v>0.37436473942380077</v>
      </c>
      <c r="V141" s="169">
        <f>P141*IFERROR(VLOOKUP(A141,[1]Tørstofindhold!A$2:B$24,2,FALSE),0)</f>
        <v>45012.894261493828</v>
      </c>
      <c r="W141">
        <f>IF(F141=År1,Q141,SUM(P141,Q141))*IFERROR(VLOOKUP(A141,[1]Tørstofindhold!A$2:B$24,2,FALSE),0)</f>
        <v>450128.94261493819</v>
      </c>
      <c r="X141">
        <f>K141*IFERROR(VLOOKUP(A141,[1]Tørstofindhold!A$2:B$24,2,FALSE),0)</f>
        <v>405116.04835344438</v>
      </c>
      <c r="Y141" s="170">
        <f t="shared" si="36"/>
        <v>45012.894261493813</v>
      </c>
      <c r="Z141">
        <f t="shared" si="29"/>
        <v>0</v>
      </c>
      <c r="AA141">
        <f t="shared" si="30"/>
        <v>1</v>
      </c>
      <c r="AC141" s="94">
        <f t="shared" si="32"/>
        <v>750214.90435823053</v>
      </c>
      <c r="AD141">
        <f>AC141*E141*10000*VLOOKUP(A141,[1]kcal!$A$2:$C$49,3,FALSE)/1000000000000</f>
        <v>0</v>
      </c>
    </row>
    <row r="142" spans="1:30" x14ac:dyDescent="0.55000000000000004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kcal'!$J$2:$K$19,2,FALSE),"")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0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55000000000000004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kcal'!$J$2:$K$19,2,FALSE),"")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37593.267629410817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-199508.1218701629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1</v>
      </c>
      <c r="AA143">
        <f t="shared" si="30"/>
        <v>0</v>
      </c>
      <c r="AC143" s="94">
        <f t="shared" si="32"/>
        <v>37593.267629410817</v>
      </c>
      <c r="AD143">
        <f>AC143*E143*10000*VLOOKUP(A143,[1]kcal!$A$2:$C$49,3,FALSE)/1000000000000</f>
        <v>7.330687187735109E-2</v>
      </c>
    </row>
    <row r="144" spans="1:30" x14ac:dyDescent="0.55000000000000004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kcal'!$J$2:$K$19,2,FALSE),"")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3"/>
        <v>382.5</v>
      </c>
      <c r="P144" s="94">
        <f t="shared" si="31"/>
        <v>382.5</v>
      </c>
      <c r="Q144" s="180">
        <f t="shared" si="34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35"/>
        <v>3.4329375000000003E-4</v>
      </c>
      <c r="V144" s="169">
        <f>P144*IFERROR(VLOOKUP(A144,[1]Tørstofindhold!A$2:B$24,2,FALSE),0)</f>
        <v>57.375</v>
      </c>
      <c r="W144">
        <f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36"/>
        <v>57.375</v>
      </c>
      <c r="Z144">
        <f t="shared" si="29"/>
        <v>0</v>
      </c>
      <c r="AA144">
        <f t="shared" si="30"/>
        <v>1</v>
      </c>
      <c r="AC144" s="94">
        <f t="shared" si="32"/>
        <v>382.5</v>
      </c>
      <c r="AD144">
        <f>AC144*E144*10000*VLOOKUP(A144,[1]kcal!$A$2:$C$49,3,FALSE)/1000000000000</f>
        <v>1.5605999999999999E-4</v>
      </c>
    </row>
    <row r="145" spans="1:30" x14ac:dyDescent="0.55000000000000004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kcal'!$J$2:$K$19,2,FALSE),"")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55000000000000004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kcal'!$J$2:$K$19,2,FALSE),"")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2954639.3356608618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2954639.3356608618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2954639.3356608618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42.823268788341714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42.823268788341714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1461315.3714289346</v>
      </c>
      <c r="X146">
        <f>K146*IFERROR(VLOOKUP(A146,[1]Tørstofindhold!A$2:B$24,2,FALSE),0)</f>
        <v>0</v>
      </c>
      <c r="Y146" s="170">
        <f t="shared" ca="1" si="36"/>
        <v>1461315.3714289346</v>
      </c>
      <c r="Z146">
        <f t="shared" ca="1" si="29"/>
        <v>0</v>
      </c>
      <c r="AA146">
        <f t="shared" ca="1" si="30"/>
        <v>0</v>
      </c>
      <c r="AC146" s="94">
        <f t="shared" ca="1" si="32"/>
        <v>2954639.3356608618</v>
      </c>
      <c r="AD146">
        <f ca="1">AC146*E146*10000*VLOOKUP(A146,[1]kcal!$A$2:$C$49,3,FALSE)/1000000000000</f>
        <v>0</v>
      </c>
    </row>
    <row r="147" spans="1:30" x14ac:dyDescent="0.55000000000000004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kcal'!$J$2:$K$19,2,FALSE),"")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859926.76116467617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859926.76116467617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859926.76116467617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T30"/>
  <sheetViews>
    <sheetView tabSelected="1" topLeftCell="E1" workbookViewId="0">
      <selection activeCell="C25" sqref="C25"/>
    </sheetView>
  </sheetViews>
  <sheetFormatPr defaultRowHeight="14.4" x14ac:dyDescent="0.55000000000000004"/>
  <cols>
    <col min="16" max="16" width="22.68359375" bestFit="1" customWidth="1"/>
    <col min="17" max="17" width="16.41796875" bestFit="1" customWidth="1"/>
  </cols>
  <sheetData>
    <row r="1" spans="1:20" x14ac:dyDescent="0.55000000000000004">
      <c r="B1" t="s">
        <v>372</v>
      </c>
      <c r="J1" t="s">
        <v>370</v>
      </c>
      <c r="K1" t="s">
        <v>371</v>
      </c>
      <c r="O1" s="404" t="s">
        <v>376</v>
      </c>
      <c r="Q1" t="s">
        <v>374</v>
      </c>
      <c r="R1" t="s">
        <v>372</v>
      </c>
      <c r="S1" t="s">
        <v>377</v>
      </c>
      <c r="T1" t="s">
        <v>375</v>
      </c>
    </row>
    <row r="2" spans="1:20" x14ac:dyDescent="0.55000000000000004">
      <c r="B2">
        <v>2019</v>
      </c>
      <c r="C2">
        <v>2050</v>
      </c>
      <c r="D2" t="s">
        <v>367</v>
      </c>
      <c r="E2" t="s">
        <v>373</v>
      </c>
      <c r="G2">
        <f>16.94/13.97</f>
        <v>1.2125984251968505</v>
      </c>
      <c r="J2" s="171" t="s">
        <v>15</v>
      </c>
      <c r="K2" t="s">
        <v>15</v>
      </c>
      <c r="O2" t="s">
        <v>48</v>
      </c>
      <c r="P2" t="s">
        <v>343</v>
      </c>
      <c r="Q2" s="94">
        <v>5231636613147</v>
      </c>
      <c r="R2">
        <f>Q2/1000000000000</f>
        <v>5.2316366131469998</v>
      </c>
      <c r="S2">
        <v>8817</v>
      </c>
      <c r="T2">
        <f>S2*1000</f>
        <v>8817000</v>
      </c>
    </row>
    <row r="3" spans="1:20" x14ac:dyDescent="0.55000000000000004">
      <c r="A3" t="s">
        <v>15</v>
      </c>
      <c r="B3">
        <f>SUMIFS('Produktion &amp; forbrug'!$AD$4:$AD$147,'Produktion &amp; forbrug'!$C$4:$C$147,$A3,'Produktion &amp; forbrug'!$F$4:$F$147,B$2)</f>
        <v>0.32429999999999998</v>
      </c>
      <c r="C3">
        <f>SUMIFS('Produktion &amp; forbrug'!$AD$4:$AD$147,'Produktion &amp; forbrug'!$C$4:$C$147,$A3,'Produktion &amp; forbrug'!$F$4:$F$147,C$2)</f>
        <v>5.8260327728392416E-2</v>
      </c>
      <c r="D3" s="406">
        <f>SUMIFS($R$2:$R$22,$O$2:$O$22,A3)</f>
        <v>9.7142426071000001E-2</v>
      </c>
      <c r="E3">
        <f>B3-D3</f>
        <v>0.22715757392899999</v>
      </c>
      <c r="J3" s="171" t="s">
        <v>49</v>
      </c>
      <c r="K3" t="s">
        <v>49</v>
      </c>
      <c r="O3" t="s">
        <v>12</v>
      </c>
      <c r="P3" t="s">
        <v>344</v>
      </c>
      <c r="Q3" s="94">
        <v>260376167034</v>
      </c>
      <c r="R3">
        <f t="shared" ref="R3:R22" si="0">Q3/1000000000000</f>
        <v>0.26037616703400002</v>
      </c>
      <c r="S3">
        <v>1358</v>
      </c>
      <c r="T3">
        <f t="shared" ref="T3:T22" si="1">S3*1000</f>
        <v>1358000</v>
      </c>
    </row>
    <row r="4" spans="1:20" x14ac:dyDescent="0.55000000000000004">
      <c r="A4" t="s">
        <v>49</v>
      </c>
      <c r="B4">
        <f>SUMIFS('Produktion &amp; forbrug'!$AD$4:$AD$147,'Produktion &amp; forbrug'!$C$4:$C$147,$A4,'Produktion &amp; forbrug'!$F$4:$F$147,B$2)</f>
        <v>1.4789708396899257</v>
      </c>
      <c r="C4">
        <f>SUMIFS('Produktion &amp; forbrug'!$AD$4:$AD$147,'Produktion &amp; forbrug'!$C$4:$C$147,$A4,'Produktion &amp; forbrug'!$F$4:$F$147,C$2)</f>
        <v>13.28758609436645</v>
      </c>
      <c r="D4" s="406">
        <f t="shared" ref="D4:D14" si="2">SUMIFS($R$2:$R$22,$O$2:$O$22,A4)</f>
        <v>5.0694444444000002E-2</v>
      </c>
      <c r="E4">
        <f t="shared" ref="E4:E14" si="3">B4-D4</f>
        <v>1.4282763952459256</v>
      </c>
      <c r="J4" t="s">
        <v>96</v>
      </c>
      <c r="K4" t="s">
        <v>341</v>
      </c>
      <c r="O4" t="s">
        <v>52</v>
      </c>
      <c r="P4" t="s">
        <v>345</v>
      </c>
      <c r="Q4" s="94">
        <v>-251146789</v>
      </c>
      <c r="R4">
        <f t="shared" si="0"/>
        <v>-2.5114678899999999E-4</v>
      </c>
      <c r="S4">
        <v>2409</v>
      </c>
      <c r="T4">
        <f t="shared" si="1"/>
        <v>2409000</v>
      </c>
    </row>
    <row r="5" spans="1:20" x14ac:dyDescent="0.55000000000000004">
      <c r="A5" t="s">
        <v>341</v>
      </c>
      <c r="B5">
        <f>SUMIFS('Produktion &amp; forbrug'!$AD$4:$AD$147,'Produktion &amp; forbrug'!$C$4:$C$147,$A5,'Produktion &amp; forbrug'!$F$4:$F$147,B$2)</f>
        <v>3.654108115551467</v>
      </c>
      <c r="C5">
        <f>SUMIFS('Produktion &amp; forbrug'!$AD$4:$AD$147,'Produktion &amp; forbrug'!$C$4:$C$147,$A5,'Produktion &amp; forbrug'!$F$4:$F$147,C$2)</f>
        <v>9.0757074497335263E-2</v>
      </c>
      <c r="D5" s="406">
        <f t="shared" si="2"/>
        <v>3.6517976461030002</v>
      </c>
      <c r="E5">
        <f t="shared" si="3"/>
        <v>2.3104694484668009E-3</v>
      </c>
      <c r="J5" t="s">
        <v>54</v>
      </c>
      <c r="K5" t="s">
        <v>54</v>
      </c>
      <c r="O5" t="s">
        <v>52</v>
      </c>
      <c r="P5" t="s">
        <v>346</v>
      </c>
      <c r="Q5" s="94">
        <v>1421949701937</v>
      </c>
      <c r="R5">
        <f t="shared" si="0"/>
        <v>1.421949701937</v>
      </c>
      <c r="S5">
        <v>476</v>
      </c>
      <c r="T5">
        <f t="shared" si="1"/>
        <v>476000</v>
      </c>
    </row>
    <row r="6" spans="1:20" x14ac:dyDescent="0.55000000000000004">
      <c r="A6" t="s">
        <v>54</v>
      </c>
      <c r="B6">
        <f>SUMIFS('Produktion &amp; forbrug'!$AD$4:$AD$147,'Produktion &amp; forbrug'!$C$4:$C$147,$A6,'Produktion &amp; forbrug'!$F$4:$F$147,B$2)</f>
        <v>2.1699053488951431E-2</v>
      </c>
      <c r="C6">
        <f>SUMIFS('Produktion &amp; forbrug'!$AD$4:$AD$147,'Produktion &amp; forbrug'!$C$4:$C$147,$A6,'Produktion &amp; forbrug'!$F$4:$F$147,C$2)</f>
        <v>1.2244478500758904</v>
      </c>
      <c r="D6" s="406">
        <f t="shared" si="2"/>
        <v>1.6267328699000001E-2</v>
      </c>
      <c r="E6">
        <f t="shared" si="3"/>
        <v>5.4317247899514295E-3</v>
      </c>
      <c r="J6" s="171" t="s">
        <v>6</v>
      </c>
      <c r="K6" t="s">
        <v>6</v>
      </c>
      <c r="O6" t="s">
        <v>49</v>
      </c>
      <c r="P6" t="s">
        <v>347</v>
      </c>
      <c r="Q6" s="94">
        <v>50694444444</v>
      </c>
      <c r="R6">
        <f t="shared" si="0"/>
        <v>5.0694444444000002E-2</v>
      </c>
      <c r="S6">
        <v>34</v>
      </c>
      <c r="T6">
        <f t="shared" si="1"/>
        <v>34000</v>
      </c>
    </row>
    <row r="7" spans="1:20" x14ac:dyDescent="0.55000000000000004">
      <c r="A7" t="s">
        <v>6</v>
      </c>
      <c r="B7">
        <f>SUMIFS('Produktion &amp; forbrug'!$AD$4:$AD$147,'Produktion &amp; forbrug'!$C$4:$C$147,$A7,'Produktion &amp; forbrug'!$F$4:$F$147,B$2)</f>
        <v>0.10932575033613341</v>
      </c>
      <c r="C7">
        <f>SUMIFS('Produktion &amp; forbrug'!$AD$4:$AD$147,'Produktion &amp; forbrug'!$C$4:$C$147,$A7,'Produktion &amp; forbrug'!$F$4:$F$147,C$2)</f>
        <v>1.8312635696829016</v>
      </c>
      <c r="D7" s="406">
        <f t="shared" si="2"/>
        <v>6.6397776303000006E-2</v>
      </c>
      <c r="E7">
        <f t="shared" si="3"/>
        <v>4.2927974033133406E-2</v>
      </c>
      <c r="J7" s="171" t="s">
        <v>51</v>
      </c>
      <c r="K7" t="s">
        <v>48</v>
      </c>
      <c r="O7" t="s">
        <v>364</v>
      </c>
      <c r="P7" t="s">
        <v>348</v>
      </c>
      <c r="Q7" s="94">
        <v>0</v>
      </c>
      <c r="R7">
        <f t="shared" si="0"/>
        <v>0</v>
      </c>
      <c r="S7">
        <v>0</v>
      </c>
      <c r="T7">
        <f t="shared" si="1"/>
        <v>0</v>
      </c>
    </row>
    <row r="8" spans="1:20" x14ac:dyDescent="0.55000000000000004">
      <c r="A8" t="s">
        <v>369</v>
      </c>
      <c r="B8">
        <f>SUMIFS('Produktion &amp; forbrug'!$AD$4:$AD$147,'Produktion &amp; forbrug'!$C$4:$C$147,$A8,'Produktion &amp; forbrug'!$F$4:$F$147,B$2)</f>
        <v>-1.1364356732063328</v>
      </c>
      <c r="C8">
        <f>SUMIFS('Produktion &amp; forbrug'!$AD$4:$AD$147,'Produktion &amp; forbrug'!$C$4:$C$147,$A8,'Produktion &amp; forbrug'!$F$4:$F$147,C$2)</f>
        <v>3.5048370324038451</v>
      </c>
      <c r="D8" s="406">
        <f t="shared" si="2"/>
        <v>-0.729376068376</v>
      </c>
      <c r="E8">
        <f t="shared" si="3"/>
        <v>-0.40705960483033277</v>
      </c>
      <c r="J8" t="s">
        <v>159</v>
      </c>
      <c r="K8" t="s">
        <v>369</v>
      </c>
      <c r="O8" t="s">
        <v>369</v>
      </c>
      <c r="P8" t="s">
        <v>349</v>
      </c>
      <c r="Q8" s="94">
        <v>-729376068376</v>
      </c>
      <c r="R8">
        <f t="shared" si="0"/>
        <v>-0.729376068376</v>
      </c>
      <c r="S8">
        <v>580</v>
      </c>
      <c r="T8">
        <f t="shared" si="1"/>
        <v>580000</v>
      </c>
    </row>
    <row r="9" spans="1:20" x14ac:dyDescent="0.55000000000000004">
      <c r="A9" t="s">
        <v>12</v>
      </c>
      <c r="B9">
        <f>SUMIFS('Produktion &amp; forbrug'!$AD$4:$AD$147,'Produktion &amp; forbrug'!$C$4:$C$147,$A9,'Produktion &amp; forbrug'!$F$4:$F$147,B$2)</f>
        <v>1.765277402754017</v>
      </c>
      <c r="C9">
        <f>SUMIFS('Produktion &amp; forbrug'!$AD$4:$AD$147,'Produktion &amp; forbrug'!$C$4:$C$147,$A9,'Produktion &amp; forbrug'!$F$4:$F$147,C$2)</f>
        <v>5.2695137504379271E-3</v>
      </c>
      <c r="D9" s="406">
        <f t="shared" si="2"/>
        <v>0.26037616703400002</v>
      </c>
      <c r="E9">
        <f t="shared" si="3"/>
        <v>1.5049012357200171</v>
      </c>
      <c r="J9" s="171" t="s">
        <v>12</v>
      </c>
      <c r="K9" t="s">
        <v>12</v>
      </c>
      <c r="P9" t="s">
        <v>350</v>
      </c>
      <c r="Q9" s="94">
        <v>-933787106447</v>
      </c>
      <c r="R9">
        <f t="shared" si="0"/>
        <v>-0.93378710644700003</v>
      </c>
      <c r="S9">
        <v>214</v>
      </c>
      <c r="T9">
        <f t="shared" si="1"/>
        <v>214000</v>
      </c>
    </row>
    <row r="10" spans="1:20" x14ac:dyDescent="0.55000000000000004">
      <c r="A10" t="s">
        <v>48</v>
      </c>
      <c r="B10">
        <f>SUMIFS('Produktion &amp; forbrug'!$AD$4:$AD$147,'Produktion &amp; forbrug'!$C$4:$C$147,$A10,'Produktion &amp; forbrug'!$F$4:$F$147,B$2)</f>
        <v>10.337098879069501</v>
      </c>
      <c r="C10">
        <f>SUMIFS('Produktion &amp; forbrug'!$AD$4:$AD$147,'Produktion &amp; forbrug'!$C$4:$C$147,$A10,'Produktion &amp; forbrug'!$F$4:$F$147,C$2)</f>
        <v>-2.4527543339581124</v>
      </c>
      <c r="D10" s="406">
        <f t="shared" si="2"/>
        <v>5.5838533356869995</v>
      </c>
      <c r="E10">
        <f t="shared" si="3"/>
        <v>4.7532455433825014</v>
      </c>
      <c r="J10" s="171" t="s">
        <v>48</v>
      </c>
      <c r="K10" t="s">
        <v>48</v>
      </c>
      <c r="O10" t="s">
        <v>6</v>
      </c>
      <c r="P10" t="s">
        <v>351</v>
      </c>
      <c r="Q10" s="94">
        <v>66397776303</v>
      </c>
      <c r="R10">
        <f t="shared" si="0"/>
        <v>6.6397776303000006E-2</v>
      </c>
      <c r="S10">
        <v>287</v>
      </c>
      <c r="T10">
        <f t="shared" si="1"/>
        <v>287000</v>
      </c>
    </row>
    <row r="11" spans="1:20" x14ac:dyDescent="0.55000000000000004">
      <c r="A11" t="s">
        <v>116</v>
      </c>
      <c r="B11">
        <f>SUMIFS('Produktion &amp; forbrug'!$AD$4:$AD$147,'Produktion &amp; forbrug'!$C$4:$C$147,$A11,'Produktion &amp; forbrug'!$F$4:$F$147,B$2)</f>
        <v>2.1316857659999999</v>
      </c>
      <c r="C11">
        <f>SUMIFS('Produktion &amp; forbrug'!$AD$4:$AD$147,'Produktion &amp; forbrug'!$C$4:$C$147,$A11,'Produktion &amp; forbrug'!$F$4:$F$147,C$2)</f>
        <v>0.12990425369437966</v>
      </c>
      <c r="D11" s="406">
        <f t="shared" si="2"/>
        <v>3.2659921037490003</v>
      </c>
      <c r="E11">
        <f t="shared" si="3"/>
        <v>-1.1343063377490004</v>
      </c>
      <c r="J11" t="s">
        <v>53</v>
      </c>
      <c r="K11" t="s">
        <v>48</v>
      </c>
      <c r="O11" t="s">
        <v>54</v>
      </c>
      <c r="P11" t="s">
        <v>352</v>
      </c>
      <c r="Q11" s="94">
        <v>16267328699</v>
      </c>
      <c r="R11">
        <f t="shared" si="0"/>
        <v>1.6267328699000001E-2</v>
      </c>
      <c r="S11">
        <v>67</v>
      </c>
      <c r="T11">
        <f t="shared" si="1"/>
        <v>67000</v>
      </c>
    </row>
    <row r="12" spans="1:20" x14ac:dyDescent="0.55000000000000004">
      <c r="A12" t="s">
        <v>368</v>
      </c>
      <c r="B12">
        <f>SUMIFS('Produktion &amp; forbrug'!$AD$4:$AD$147,'Produktion &amp; forbrug'!$C$4:$C$147,$A12,'Produktion &amp; forbrug'!$F$4:$F$147,B$2)</f>
        <v>7.6169499999999995E-4</v>
      </c>
      <c r="C12">
        <f>SUMIFS('Produktion &amp; forbrug'!$AD$4:$AD$147,'Produktion &amp; forbrug'!$C$4:$C$147,$A12,'Produktion &amp; forbrug'!$F$4:$F$147,C$2)</f>
        <v>8.8654299999999994E-4</v>
      </c>
      <c r="D12" s="406">
        <f t="shared" si="2"/>
        <v>0.75554379344599998</v>
      </c>
      <c r="E12">
        <f t="shared" si="3"/>
        <v>-0.75478209844599997</v>
      </c>
      <c r="J12" s="171" t="s">
        <v>116</v>
      </c>
      <c r="K12" t="s">
        <v>116</v>
      </c>
      <c r="O12" t="s">
        <v>365</v>
      </c>
      <c r="P12" t="s">
        <v>353</v>
      </c>
      <c r="Q12" s="94">
        <v>0</v>
      </c>
      <c r="R12">
        <f t="shared" si="0"/>
        <v>0</v>
      </c>
      <c r="S12">
        <v>0</v>
      </c>
      <c r="T12">
        <f t="shared" si="1"/>
        <v>0</v>
      </c>
    </row>
    <row r="13" spans="1:20" x14ac:dyDescent="0.55000000000000004">
      <c r="A13" t="s">
        <v>55</v>
      </c>
      <c r="B13">
        <f>SUMIFS('Produktion &amp; forbrug'!$AD$4:$AD$147,'Produktion &amp; forbrug'!$C$4:$C$147,$A13,'Produktion &amp; forbrug'!$F$4:$F$147,B$2)</f>
        <v>0.78236622704276404</v>
      </c>
      <c r="C13">
        <f>SUMIFS('Produktion &amp; forbrug'!$AD$4:$AD$147,'Produktion &amp; forbrug'!$C$4:$C$147,$A13,'Produktion &amp; forbrug'!$F$4:$F$147,C$2)</f>
        <v>2.0963905854001091E-3</v>
      </c>
      <c r="D13" s="406">
        <f t="shared" si="2"/>
        <v>3.1937500000000001E-2</v>
      </c>
      <c r="E13">
        <f t="shared" si="3"/>
        <v>0.75042872704276409</v>
      </c>
      <c r="J13" s="171" t="s">
        <v>106</v>
      </c>
      <c r="K13" t="s">
        <v>368</v>
      </c>
      <c r="O13" t="s">
        <v>366</v>
      </c>
      <c r="P13" t="s">
        <v>354</v>
      </c>
      <c r="Q13" s="94">
        <v>0</v>
      </c>
      <c r="R13">
        <f t="shared" si="0"/>
        <v>0</v>
      </c>
      <c r="S13">
        <v>0</v>
      </c>
      <c r="T13">
        <f t="shared" si="1"/>
        <v>0</v>
      </c>
    </row>
    <row r="14" spans="1:20" x14ac:dyDescent="0.55000000000000004">
      <c r="A14" t="s">
        <v>52</v>
      </c>
      <c r="B14">
        <f>SUMIFS('Produktion &amp; forbrug'!$AD$4:$AD$147,'Produktion &amp; forbrug'!$C$4:$C$147,$A14,'Produktion &amp; forbrug'!$F$4:$F$147,B$2)</f>
        <v>0.49133266422523447</v>
      </c>
      <c r="C14">
        <f>SUMIFS('Produktion &amp; forbrug'!$AD$4:$AD$147,'Produktion &amp; forbrug'!$C$4:$C$147,$A14,'Produktion &amp; forbrug'!$F$4:$F$147,C$2)</f>
        <v>-2.3713783578749016E-2</v>
      </c>
      <c r="D14" s="406">
        <f t="shared" si="2"/>
        <v>1.4216985551479999</v>
      </c>
      <c r="E14">
        <f t="shared" si="3"/>
        <v>-0.93036589092276545</v>
      </c>
      <c r="J14" s="171" t="s">
        <v>14</v>
      </c>
      <c r="K14" t="s">
        <v>341</v>
      </c>
      <c r="O14" t="s">
        <v>48</v>
      </c>
      <c r="P14" t="s">
        <v>355</v>
      </c>
      <c r="Q14" s="94">
        <v>352216722540</v>
      </c>
      <c r="R14">
        <f t="shared" si="0"/>
        <v>0.35221672254000003</v>
      </c>
      <c r="S14">
        <v>683</v>
      </c>
      <c r="T14">
        <f t="shared" si="1"/>
        <v>683000</v>
      </c>
    </row>
    <row r="15" spans="1:20" x14ac:dyDescent="0.55000000000000004">
      <c r="B15">
        <f>SUM(B3:B14)</f>
        <v>19.960490719951661</v>
      </c>
      <c r="C15">
        <f t="shared" ref="C15" si="4">SUM(C3:C14)</f>
        <v>17.658840532248174</v>
      </c>
      <c r="D15">
        <f t="shared" ref="D15" si="5">SUM(D3:D14)</f>
        <v>14.472325008307999</v>
      </c>
      <c r="J15" s="171" t="s">
        <v>55</v>
      </c>
      <c r="K15" t="s">
        <v>55</v>
      </c>
      <c r="O15" t="s">
        <v>341</v>
      </c>
      <c r="P15" t="s">
        <v>356</v>
      </c>
      <c r="Q15" s="94">
        <v>3337430939227</v>
      </c>
      <c r="R15">
        <f t="shared" si="0"/>
        <v>3.3374309392270001</v>
      </c>
      <c r="S15">
        <v>1997</v>
      </c>
      <c r="T15">
        <f t="shared" si="1"/>
        <v>1997000</v>
      </c>
    </row>
    <row r="16" spans="1:20" x14ac:dyDescent="0.55000000000000004">
      <c r="J16" t="s">
        <v>231</v>
      </c>
      <c r="K16" t="s">
        <v>369</v>
      </c>
      <c r="O16" t="s">
        <v>341</v>
      </c>
      <c r="P16" t="s">
        <v>357</v>
      </c>
      <c r="Q16" s="94">
        <v>314366706876</v>
      </c>
      <c r="R16">
        <f t="shared" si="0"/>
        <v>0.31436670687599999</v>
      </c>
      <c r="S16">
        <v>258</v>
      </c>
      <c r="T16">
        <f t="shared" si="1"/>
        <v>258000</v>
      </c>
    </row>
    <row r="17" spans="1:20" x14ac:dyDescent="0.55000000000000004">
      <c r="B17">
        <v>2019</v>
      </c>
      <c r="C17">
        <v>2050</v>
      </c>
      <c r="D17" t="s">
        <v>367</v>
      </c>
      <c r="E17" t="s">
        <v>373</v>
      </c>
      <c r="J17" t="s">
        <v>52</v>
      </c>
      <c r="K17" t="s">
        <v>52</v>
      </c>
      <c r="O17" t="s">
        <v>116</v>
      </c>
      <c r="P17" t="s">
        <v>358</v>
      </c>
      <c r="Q17" s="94">
        <v>1421114566929</v>
      </c>
      <c r="R17">
        <f t="shared" si="0"/>
        <v>1.421114566929</v>
      </c>
      <c r="S17">
        <v>533</v>
      </c>
      <c r="T17">
        <f t="shared" si="1"/>
        <v>533000</v>
      </c>
    </row>
    <row r="18" spans="1:20" x14ac:dyDescent="0.55000000000000004">
      <c r="A18" t="s">
        <v>15</v>
      </c>
      <c r="B18">
        <f>SUMIFS('Produktion &amp; forbrug'!$AC$4:$AC$147,'Produktion &amp; forbrug'!$C$4:$C$147,$A18,'Produktion &amp; forbrug'!$F$4:$F$147,B$2)</f>
        <v>235000</v>
      </c>
      <c r="C18">
        <f>SUMIFS('Produktion &amp; forbrug'!$AC$4:$AC$147,'Produktion &amp; forbrug'!$C$4:$C$147,$A18,'Produktion &amp; forbrug'!$F$4:$F$147,C$2)</f>
        <v>42217.628788690155</v>
      </c>
      <c r="D18" s="406">
        <f>SUMIFS($T$2:$T$22,$O$2:$O$22,A18)</f>
        <v>76000</v>
      </c>
      <c r="E18">
        <f>B18-D18</f>
        <v>159000</v>
      </c>
      <c r="J18" s="171" t="s">
        <v>13</v>
      </c>
      <c r="K18" t="s">
        <v>341</v>
      </c>
      <c r="O18" t="s">
        <v>15</v>
      </c>
      <c r="P18" t="s">
        <v>359</v>
      </c>
      <c r="Q18" s="94">
        <v>97142426071</v>
      </c>
      <c r="R18">
        <f t="shared" si="0"/>
        <v>9.7142426071000001E-2</v>
      </c>
      <c r="S18">
        <v>76</v>
      </c>
      <c r="T18">
        <f t="shared" si="1"/>
        <v>76000</v>
      </c>
    </row>
    <row r="19" spans="1:20" x14ac:dyDescent="0.55000000000000004">
      <c r="A19" t="s">
        <v>49</v>
      </c>
      <c r="B19">
        <f>SUMIFS('Produktion &amp; forbrug'!$AC$4:$AC$147,'Produktion &amp; forbrug'!$C$4:$C$147,$A19,'Produktion &amp; forbrug'!$F$4:$F$147,B$2)</f>
        <v>212954.76453418657</v>
      </c>
      <c r="C19">
        <f>SUMIFS('Produktion &amp; forbrug'!$AC$4:$AC$147,'Produktion &amp; forbrug'!$C$4:$C$147,$A19,'Produktion &amp; forbrug'!$F$4:$F$147,C$2)</f>
        <v>1913259.3368418214</v>
      </c>
      <c r="D19" s="406">
        <f t="shared" ref="D19:D29" si="6">SUMIFS($T$2:$T$22,$O$2:$O$22,A19)</f>
        <v>34000</v>
      </c>
      <c r="E19">
        <f t="shared" ref="E19:E29" si="7">B19-D19</f>
        <v>178954.76453418657</v>
      </c>
      <c r="J19" s="171" t="s">
        <v>99</v>
      </c>
      <c r="K19" t="s">
        <v>368</v>
      </c>
      <c r="O19" t="s">
        <v>116</v>
      </c>
      <c r="P19" t="s">
        <v>360</v>
      </c>
      <c r="Q19" s="94">
        <v>1844877536820</v>
      </c>
      <c r="R19">
        <f t="shared" si="0"/>
        <v>1.8448775368200001</v>
      </c>
      <c r="S19">
        <v>4909</v>
      </c>
      <c r="T19">
        <f t="shared" si="1"/>
        <v>4909000</v>
      </c>
    </row>
    <row r="20" spans="1:20" x14ac:dyDescent="0.55000000000000004">
      <c r="A20" t="s">
        <v>341</v>
      </c>
      <c r="B20">
        <f>SUMIFS('Produktion &amp; forbrug'!$AC$4:$AC$147,'Produktion &amp; forbrug'!$C$4:$C$147,$A20,'Produktion &amp; forbrug'!$F$4:$F$147,B$2)</f>
        <v>1918344.9215345967</v>
      </c>
      <c r="C20">
        <f>SUMIFS('Produktion &amp; forbrug'!$AC$4:$AC$147,'Produktion &amp; forbrug'!$C$4:$C$147,$A20,'Produktion &amp; forbrug'!$F$4:$F$147,C$2)</f>
        <v>47976.600149072015</v>
      </c>
      <c r="D20" s="406">
        <f t="shared" si="6"/>
        <v>2255000</v>
      </c>
      <c r="E20">
        <f t="shared" si="7"/>
        <v>-336655.07846540329</v>
      </c>
      <c r="O20" t="s">
        <v>368</v>
      </c>
      <c r="P20" t="s">
        <v>361</v>
      </c>
      <c r="Q20" s="94">
        <v>759139852559</v>
      </c>
      <c r="R20">
        <f t="shared" si="0"/>
        <v>0.75913985255899996</v>
      </c>
      <c r="S20">
        <v>868</v>
      </c>
      <c r="T20">
        <f t="shared" si="1"/>
        <v>868000</v>
      </c>
    </row>
    <row r="21" spans="1:20" x14ac:dyDescent="0.55000000000000004">
      <c r="A21" t="s">
        <v>54</v>
      </c>
      <c r="B21">
        <f>SUMIFS('Produktion &amp; forbrug'!$AC$4:$AC$147,'Produktion &amp; forbrug'!$C$4:$C$147,$A21,'Produktion &amp; forbrug'!$F$4:$F$147,B$2)</f>
        <v>41728.949017214291</v>
      </c>
      <c r="C21">
        <f>SUMIFS('Produktion &amp; forbrug'!$AC$4:$AC$147,'Produktion &amp; forbrug'!$C$4:$C$147,$A21,'Produktion &amp; forbrug'!$F$4:$F$147,C$2)</f>
        <v>2354707.4039920969</v>
      </c>
      <c r="D21" s="406">
        <f t="shared" si="6"/>
        <v>67000</v>
      </c>
      <c r="E21">
        <f t="shared" si="7"/>
        <v>-25271.050982785709</v>
      </c>
      <c r="O21" t="s">
        <v>368</v>
      </c>
      <c r="P21" t="s">
        <v>362</v>
      </c>
      <c r="Q21" s="94">
        <v>-3596059113</v>
      </c>
      <c r="R21">
        <f t="shared" si="0"/>
        <v>-3.596059113E-3</v>
      </c>
      <c r="S21">
        <v>0</v>
      </c>
      <c r="T21">
        <f t="shared" si="1"/>
        <v>0</v>
      </c>
    </row>
    <row r="22" spans="1:20" x14ac:dyDescent="0.55000000000000004">
      <c r="A22" t="s">
        <v>6</v>
      </c>
      <c r="B22">
        <f>SUMIFS('Produktion &amp; forbrug'!$AC$4:$AC$147,'Produktion &amp; forbrug'!$C$4:$C$147,$A22,'Produktion &amp; forbrug'!$F$4:$F$147,B$2)</f>
        <v>280322.43675931642</v>
      </c>
      <c r="C22">
        <f>SUMIFS('Produktion &amp; forbrug'!$AC$4:$AC$147,'Produktion &amp; forbrug'!$C$4:$C$147,$A22,'Produktion &amp; forbrug'!$F$4:$F$147,C$2)</f>
        <v>4695547.6145715425</v>
      </c>
      <c r="D22" s="406">
        <f t="shared" si="6"/>
        <v>287000</v>
      </c>
      <c r="E22">
        <f t="shared" si="7"/>
        <v>-6677.5632406835794</v>
      </c>
      <c r="O22" t="s">
        <v>55</v>
      </c>
      <c r="P22" t="s">
        <v>363</v>
      </c>
      <c r="Q22" s="94">
        <v>31937500000</v>
      </c>
      <c r="R22">
        <f t="shared" si="0"/>
        <v>3.1937500000000001E-2</v>
      </c>
      <c r="S22">
        <v>0</v>
      </c>
      <c r="T22">
        <f t="shared" si="1"/>
        <v>0</v>
      </c>
    </row>
    <row r="23" spans="1:20" x14ac:dyDescent="0.55000000000000004">
      <c r="A23" t="s">
        <v>369</v>
      </c>
      <c r="B23">
        <f>SUMIFS('Produktion &amp; forbrug'!$AC$4:$AC$147,'Produktion &amp; forbrug'!$C$4:$C$147,$A23,'Produktion &amp; forbrug'!$F$4:$F$147,B$2)</f>
        <v>-5204010.1923478451</v>
      </c>
      <c r="C23">
        <f>SUMIFS('Produktion &amp; forbrug'!$AC$4:$AC$147,'Produktion &amp; forbrug'!$C$4:$C$147,$A23,'Produktion &amp; forbrug'!$F$4:$F$147,C$2)</f>
        <v>-43529.1082484324</v>
      </c>
      <c r="D23" s="406">
        <f t="shared" si="6"/>
        <v>580000</v>
      </c>
      <c r="E23">
        <f t="shared" si="7"/>
        <v>-5784010.1923478451</v>
      </c>
    </row>
    <row r="24" spans="1:20" x14ac:dyDescent="0.55000000000000004">
      <c r="A24" t="s">
        <v>12</v>
      </c>
      <c r="B24">
        <f>SUMIFS('Produktion &amp; forbrug'!$AC$4:$AC$147,'Produktion &amp; forbrug'!$C$4:$C$147,$A24,'Produktion &amp; forbrug'!$F$4:$F$147,B$2)</f>
        <v>2263176.157376945</v>
      </c>
      <c r="C24">
        <f>SUMIFS('Produktion &amp; forbrug'!$AC$4:$AC$147,'Produktion &amp; forbrug'!$C$4:$C$147,$A24,'Produktion &amp; forbrug'!$F$4:$F$147,C$2)</f>
        <v>6755.786859535805</v>
      </c>
      <c r="D24" s="406">
        <f t="shared" si="6"/>
        <v>1358000</v>
      </c>
      <c r="E24">
        <f t="shared" si="7"/>
        <v>905176.15737694502</v>
      </c>
    </row>
    <row r="25" spans="1:20" x14ac:dyDescent="0.55000000000000004">
      <c r="A25" t="s">
        <v>48</v>
      </c>
      <c r="B25">
        <f>SUMIFS('Produktion &amp; forbrug'!$AC$4:$AC$147,'Produktion &amp; forbrug'!$C$4:$C$147,$A25,'Produktion &amp; forbrug'!$F$4:$F$147,B$2)</f>
        <v>7869522.6750600915</v>
      </c>
      <c r="C25">
        <f>SUMIFS('Produktion &amp; forbrug'!$AC$4:$AC$147,'Produktion &amp; forbrug'!$C$4:$C$147,$A25,'Produktion &amp; forbrug'!$F$4:$F$147,C$2)</f>
        <v>33821933.611277603</v>
      </c>
      <c r="D25" s="406">
        <f t="shared" si="6"/>
        <v>9500000</v>
      </c>
      <c r="E25">
        <f t="shared" si="7"/>
        <v>-1630477.3249399085</v>
      </c>
    </row>
    <row r="26" spans="1:20" x14ac:dyDescent="0.55000000000000004">
      <c r="A26" t="s">
        <v>116</v>
      </c>
      <c r="B26">
        <f>SUMIFS('Produktion &amp; forbrug'!$AC$4:$AC$147,'Produktion &amp; forbrug'!$C$4:$C$147,$A26,'Produktion &amp; forbrug'!$F$4:$F$147,B$2)</f>
        <v>3383628.2</v>
      </c>
      <c r="C26">
        <f>SUMIFS('Produktion &amp; forbrug'!$AC$4:$AC$147,'Produktion &amp; forbrug'!$C$4:$C$147,$A26,'Produktion &amp; forbrug'!$F$4:$F$147,C$2)</f>
        <v>206197.22808631693</v>
      </c>
      <c r="D26" s="406">
        <f t="shared" si="6"/>
        <v>5442000</v>
      </c>
      <c r="E26">
        <f t="shared" si="7"/>
        <v>-2058371.7999999998</v>
      </c>
    </row>
    <row r="27" spans="1:20" x14ac:dyDescent="0.55000000000000004">
      <c r="A27" t="s">
        <v>368</v>
      </c>
      <c r="B27">
        <f>SUMIFS('Produktion &amp; forbrug'!$AC$4:$AC$147,'Produktion &amp; forbrug'!$C$4:$C$147,$A27,'Produktion &amp; forbrug'!$F$4:$F$147,B$2)</f>
        <v>956.59999999999991</v>
      </c>
      <c r="C27">
        <f>SUMIFS('Produktion &amp; forbrug'!$AC$4:$AC$147,'Produktion &amp; forbrug'!$C$4:$C$147,$A27,'Produktion &amp; forbrug'!$F$4:$F$147,C$2)</f>
        <v>1262.5999999999999</v>
      </c>
      <c r="D27" s="406">
        <f t="shared" si="6"/>
        <v>868000</v>
      </c>
      <c r="E27">
        <f t="shared" si="7"/>
        <v>-867043.4</v>
      </c>
    </row>
    <row r="28" spans="1:20" x14ac:dyDescent="0.55000000000000004">
      <c r="A28" t="s">
        <v>55</v>
      </c>
      <c r="B28">
        <f>SUMIFS('Produktion &amp; forbrug'!$AC$4:$AC$147,'Produktion &amp; forbrug'!$C$4:$C$147,$A28,'Produktion &amp; forbrug'!$F$4:$F$147,B$2)</f>
        <v>2006067.2488276002</v>
      </c>
      <c r="C28">
        <f>SUMIFS('Produktion &amp; forbrug'!$AC$4:$AC$147,'Produktion &amp; forbrug'!$C$4:$C$147,$A28,'Produktion &amp; forbrug'!$F$4:$F$147,C$2)</f>
        <v>5375.3604753848949</v>
      </c>
      <c r="D28" s="406">
        <f t="shared" si="6"/>
        <v>0</v>
      </c>
      <c r="E28">
        <f t="shared" si="7"/>
        <v>2006067.2488276002</v>
      </c>
    </row>
    <row r="29" spans="1:20" x14ac:dyDescent="0.55000000000000004">
      <c r="A29" t="s">
        <v>52</v>
      </c>
      <c r="B29">
        <f>SUMIFS('Produktion &amp; forbrug'!$AC$4:$AC$147,'Produktion &amp; forbrug'!$C$4:$C$147,$A29,'Produktion &amp; forbrug'!$F$4:$F$147,B$2)</f>
        <v>1637775.5474174484</v>
      </c>
      <c r="C29">
        <f>SUMIFS('Produktion &amp; forbrug'!$AC$4:$AC$147,'Produktion &amp; forbrug'!$C$4:$C$147,$A29,'Produktion &amp; forbrug'!$F$4:$F$147,C$2)</f>
        <v>-79045.945262496723</v>
      </c>
      <c r="D29" s="406">
        <f t="shared" si="6"/>
        <v>2885000</v>
      </c>
      <c r="E29">
        <f t="shared" si="7"/>
        <v>-1247224.4525825516</v>
      </c>
    </row>
    <row r="30" spans="1:20" x14ac:dyDescent="0.55000000000000004">
      <c r="B30">
        <f>SUM(B18:B29)</f>
        <v>14645467.308179555</v>
      </c>
      <c r="C30">
        <f t="shared" ref="C30:D30" si="8">SUM(C18:C29)</f>
        <v>42972658.117531128</v>
      </c>
      <c r="D30">
        <f t="shared" si="8"/>
        <v>23352000</v>
      </c>
    </row>
  </sheetData>
  <hyperlinks>
    <hyperlink ref="O1" r:id="rId1" xr:uid="{86ADADE7-AA62-48E5-BE43-B928399DBE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38" t="s">
        <v>23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439"/>
      <c r="Q2" s="439"/>
      <c r="R2" s="439"/>
      <c r="S2" s="439"/>
      <c r="T2" s="439"/>
      <c r="U2" s="440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55000000000000004">
      <c r="A3" s="60"/>
      <c r="B3" s="61"/>
      <c r="C3" s="434" t="s">
        <v>7</v>
      </c>
      <c r="D3" s="435"/>
      <c r="E3" s="435"/>
      <c r="F3" s="435"/>
      <c r="G3" s="435"/>
      <c r="H3" s="435"/>
      <c r="I3" s="435"/>
      <c r="J3" s="435"/>
      <c r="K3" s="436"/>
      <c r="L3" s="434" t="s">
        <v>8</v>
      </c>
      <c r="M3" s="435"/>
      <c r="N3" s="435"/>
      <c r="O3" s="435"/>
      <c r="P3" s="435"/>
      <c r="Q3" s="435"/>
      <c r="R3" s="435"/>
      <c r="S3" s="435"/>
      <c r="T3" s="436"/>
      <c r="U3" s="70"/>
      <c r="W3" s="30" t="s">
        <v>272</v>
      </c>
      <c r="X3" s="34">
        <f>C24+C51</f>
        <v>11808068</v>
      </c>
      <c r="Y3" s="11">
        <f>D24+D51</f>
        <v>5860456.5888618324</v>
      </c>
      <c r="Z3" s="22">
        <f>E24+E51</f>
        <v>1169559.3041937244</v>
      </c>
    </row>
    <row r="4" spans="1:26" ht="14.7" thickBot="1" x14ac:dyDescent="0.6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568849.05744466209</v>
      </c>
      <c r="Z4" s="22">
        <f t="shared" si="0"/>
        <v>-10807.957958172134</v>
      </c>
    </row>
    <row r="5" spans="1:26" ht="14.7" thickBot="1" x14ac:dyDescent="0.6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10377919.948376702</v>
      </c>
      <c r="Z5" s="23">
        <f t="shared" si="0"/>
        <v>272840.10660097841</v>
      </c>
    </row>
    <row r="6" spans="1:26" x14ac:dyDescent="0.55000000000000004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618821.95724757656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16851.178700525419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8266.7568307088786</v>
      </c>
      <c r="I6" s="11">
        <f>IF(Landbrug!$E$47&gt;0,SUMIF(Landbrug!$B$32:$B$45,$B6,IF($I$4=År2,Landbrug!$D$32:$D$45,Landbrug!$E$32:$E$45)),'[1]Afgrødefordeling - jordtype'!$G4)*(1-Landbrug!$E$5)*Arealanvendelse!P$26</f>
        <v>0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1830.4013535168494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96774.66719648811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2635.2769023667065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1292.799377456608</v>
      </c>
      <c r="R6" s="11">
        <f>IF(Landbrug!$E$47&gt;0,SUMIF(Landbrug!$B$32:$B$45,$B6,IF($R$4=År2,Landbrug!$D$32:$D$45,Landbrug!$E$32:$E$45)),'[1]Afgrødefordeling - jordtype'!$G4)*(Landbrug!$E$5)*Arealanvendelse!P$26</f>
        <v>0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388.26695377630136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2882282.9912483166</v>
      </c>
      <c r="Z6" s="22">
        <f t="shared" si="1"/>
        <v>1107266.7852076024</v>
      </c>
    </row>
    <row r="7" spans="1:26" x14ac:dyDescent="0.55000000000000004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184137.26532732765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1444.5538636691219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475.99342925102297</v>
      </c>
      <c r="I7" s="11">
        <f>IF(Landbrug!$E$47&gt;0,SUMIF(Landbrug!$B$32:$B$45,$B7,IF($I$4=År2,Landbrug!$D$32:$D$45,Landbrug!$E$32:$E$45)),'[1]Afgrødefordeling - jordtype'!$G5)*(1-Landbrug!$E$5)*Arealanvendelse!P$26</f>
        <v>337598.06480333197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156.90969719557435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28796.36438529646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225.90701213281457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74.438382743186438</v>
      </c>
      <c r="R7" s="11">
        <f>IF(Landbrug!$E$47&gt;0,SUMIF(Landbrug!$B$32:$B$45,$B7,IF($R$4=År2,Landbrug!$D$32:$D$45,Landbrug!$E$32:$E$45)),'[1]Afgrødefordeling - jordtype'!$G5)*(Landbrug!$E$5)*Arealanvendelse!P$26</f>
        <v>71611.710715858295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33.283875162697591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477892.82642630563</v>
      </c>
      <c r="Z7" s="22">
        <f t="shared" si="1"/>
        <v>249022.35795817213</v>
      </c>
    </row>
    <row r="8" spans="1:26" ht="14.7" thickBot="1" x14ac:dyDescent="0.6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98603.526236202568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1546.8037177185506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616.38993680991337</v>
      </c>
      <c r="I8" s="11">
        <f>IF(Landbrug!$E$47&gt;0,SUMIF(Landbrug!$B$32:$B$45,$B8,IF($I$4=År2,Landbrug!$D$32:$D$45,Landbrug!$E$32:$E$45)),'[1]Afgrødefordeling - jordtype'!$G6)*(1-Landbrug!$E$5)*Arealanvendelse!P$26</f>
        <v>202558.83888199917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168.0162360659466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15420.143587586084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241.89738784691369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96.394334912357877</v>
      </c>
      <c r="R8" s="11">
        <f>IF(Landbrug!$E$47&gt;0,SUMIF(Landbrug!$B$32:$B$45,$B8,IF($R$4=År2,Landbrug!$D$32:$D$45,Landbrug!$E$32:$E$45)),'[1]Afgrødefordeling - jordtype'!$G6)*(Landbrug!$E$5)*Arealanvendelse!P$26</f>
        <v>42967.026429514983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35.63980765035231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8152586.7161394255</v>
      </c>
      <c r="Z8" s="23">
        <f t="shared" si="1"/>
        <v>10022440.49339902</v>
      </c>
    </row>
    <row r="9" spans="1:26" x14ac:dyDescent="0.55000000000000004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135838.96622507778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14274.450695696209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14215.89771790568</v>
      </c>
      <c r="I9" s="11">
        <f>IF(Landbrug!$E$47&gt;0,SUMIF(Landbrug!$B$32:$B$45,$B9,IF($I$4=År2,Landbrug!$D$32:$D$45,Landbrug!$E$32:$E$45)),'[1]Afgrødefordeling - jordtype'!$G7)*(1-Landbrug!$E$5)*Arealanvendelse!P$26</f>
        <v>472637.29072466469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1550.5131325500222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21243.219628497391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2232.3144796492898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2223.1576537275891</v>
      </c>
      <c r="R9" s="11">
        <f>IF(Landbrug!$E$47&gt;0,SUMIF(Landbrug!$B$32:$B$45,$B9,IF($R$4=År2,Landbrug!$D$32:$D$45,Landbrug!$E$32:$E$45)),'[1]Afgrødefordeling - jordtype'!$G7)*(Landbrug!$E$5)*Arealanvendelse!P$26</f>
        <v>100256.39500220161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328.89672508636835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55000000000000004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45279.655408359264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66.762142822909354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16.523315723463227</v>
      </c>
      <c r="I10" s="11">
        <f>IF(Landbrug!$E$47&gt;0,SUMIF(Landbrug!$B$32:$B$45,$B10,IF($I$4=År2,Landbrug!$D$32:$D$45,Landbrug!$E$32:$E$45)),'[1]Afgrødefordeling - jordtype'!$G8)*(1-Landbrug!$E$5)*Arealanvendelse!P$26</f>
        <v>135039.22592133281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7.2518082419319594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7081.0732094991299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10.440618787588701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2.5840039471658796</v>
      </c>
      <c r="R10" s="11">
        <f>IF(Landbrug!$E$47&gt;0,SUMIF(Landbrug!$B$32:$B$45,$B10,IF($R$4=År2,Landbrug!$D$32:$D$45,Landbrug!$E$32:$E$45)),'[1]Afgrødefordeling - jordtype'!$G8)*(Landbrug!$E$5)*Arealanvendelse!P$26</f>
        <v>28644.684286343319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1.5382623543492036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55000000000000004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33050.048755893535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1054.0011940040383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874.58394661057821</v>
      </c>
      <c r="I11" s="11">
        <f>IF(Landbrug!$E$47&gt;0,SUMIF(Landbrug!$B$32:$B$45,$B11,IF($I$4=År2,Landbrug!$D$32:$D$45,Landbrug!$E$32:$E$45)),'[1]Afgrødefordeling - jordtype'!$G9)*(1-Landbrug!$E$5)*Arealanvendelse!P$26</f>
        <v>0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114.48725613794682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5168.5423112736971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164.83030955805884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136.7720866678431</v>
      </c>
      <c r="R11" s="11">
        <f>IF(Landbrug!$E$47&gt;0,SUMIF(Landbrug!$B$32:$B$45,$B11,IF($R$4=År2,Landbrug!$D$32:$D$45,Landbrug!$E$32:$E$45)),'[1]Afgrødefordeling - jordtype'!$G9)*(Landbrug!$E$5)*Arealanvendelse!P$26</f>
        <v>0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24.285175544412962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55000000000000004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20325.905102401954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27.652057994053425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9.4578056299713129</v>
      </c>
      <c r="I12" s="11">
        <f>IF(Landbrug!$E$47&gt;0,SUMIF(Landbrug!$B$32:$B$45,$B12,IF($I$4=År2,Landbrug!$D$32:$D$45,Landbrug!$E$32:$E$45)),'[1]Afgrødefordeling - jordtype'!$G10)*(1-Landbrug!$E$5)*Arealanvendelse!P$26</f>
        <v>0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3.0036097343305523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3178.6730879773609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4.3243758213994576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1.479061920040055</v>
      </c>
      <c r="R12" s="11">
        <f>IF(Landbrug!$E$47&gt;0,SUMIF(Landbrug!$B$32:$B$45,$B12,IF($R$4=År2,Landbrug!$D$32:$D$45,Landbrug!$E$32:$E$45)),'[1]Afgrødefordeling - jordtype'!$G10)*(Landbrug!$E$5)*Arealanvendelse!P$26</f>
        <v>0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0.63712933758526868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55000000000000004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84522.023428937289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3569.4651454094223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1176.1707180927949</v>
      </c>
      <c r="I13" s="11">
        <f>IF(Landbrug!$E$47&gt;0,SUMIF(Landbrug!$B$32:$B$45,$B13,IF($I$4=År2,Landbrug!$D$32:$D$45,Landbrug!$E$32:$E$45)),'[1]Afgrødefordeling - jordtype'!$G11)*(1-Landbrug!$E$5)*Arealanvendelse!P$26</f>
        <v>0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387.72087992188403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13218.003324398376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558.21193393475642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183.93582916151516</v>
      </c>
      <c r="R13" s="11">
        <f>IF(Landbrug!$E$47&gt;0,SUMIF(Landbrug!$B$32:$B$45,$B13,IF($R$4=År2,Landbrug!$D$32:$D$45,Landbrug!$E$32:$E$45)),'[1]Afgrødefordeling - jordtype'!$G11)*(Landbrug!$E$5)*Arealanvendelse!P$26</f>
        <v>0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82.243823013732964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55000000000000004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3064.212196895046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60.808907260539151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33.705478633164141</v>
      </c>
      <c r="I14" s="11">
        <f>IF(Landbrug!$E$47&gt;0,SUMIF(Landbrug!$B$32:$B$45,$B14,IF($I$4=År2,Landbrug!$D$32:$D$45,Landbrug!$E$32:$E$45)),'[1]Afgrødefordeling - jordtype'!$G12)*(1-Landbrug!$E$5)*Arealanvendelse!P$26</f>
        <v>188373.71840347553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6.6051584956547265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479.19779203196509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9.5096201642477052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5.2710419196030802</v>
      </c>
      <c r="R14" s="11">
        <f>IF(Landbrug!$E$47&gt;0,SUMIF(Landbrug!$B$32:$B$45,$B14,IF($R$4=År2,Landbrug!$D$32:$D$45,Landbrug!$E$32:$E$45)),'[1]Afgrødefordeling - jordtype'!$G12)*(Landbrug!$E$5)*Arealanvendelse!P$26</f>
        <v>39958.061479525117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1.4010942263510027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55000000000000004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42213.724990980285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1075.4603376621412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596.11177153005485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116.81818184321391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6601.6067130142046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168.18620451542492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93.223127631604285</v>
      </c>
      <c r="R15" s="11">
        <f>IF(Landbrug!$E$47&gt;0,SUMIF(Landbrug!$B$32:$B$45,$B15,IF($R$4=År2,Landbrug!$D$32:$D$45,Landbrug!$E$32:$E$45)),'[1]Afgrødefordeling - jordtype'!$G13)*(Landbrug!$E$5)*Arealanvendelse!P$26</f>
        <v>0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24.77961433037871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55000000000000004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60969.519838660199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2654.553265707737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1896.6283551983877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288.34172237355216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9534.7376129955956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415.13315071565842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296.60482424723369</v>
      </c>
      <c r="R16" s="11">
        <f>IF(Landbrug!$E$47&gt;0,SUMIF(Landbrug!$B$32:$B$45,$B16,IF($R$4=År2,Landbrug!$D$32:$D$45,Landbrug!$E$32:$E$45)),'[1]Afgrødefordeling - jordtype'!$G14)*(Landbrug!$E$5)*Arealanvendelse!P$26</f>
        <v>0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61.163395654995902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55000000000000004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11451.126708189486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304.98975247773001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169.05131252281291</v>
      </c>
      <c r="I17" s="11">
        <f>IF(Landbrug!$E$47&gt;0,SUMIF(Landbrug!$B$32:$B$45,$B17,IF($I$4=År2,Landbrug!$D$32:$D$45,Landbrug!$E$32:$E$45)),'[1]Afgrødefordeling - jordtype'!$G15)*(1-Landbrug!$E$5)*Arealanvendelse!P$26</f>
        <v>10245.338260561472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33.128463335719047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1790.7880663104795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47.695918751252741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26.437142892102489</v>
      </c>
      <c r="R17" s="11">
        <f>IF(Landbrug!$E$47&gt;0,SUMIF(Landbrug!$B$32:$B$45,$B17,IF($R$4=År2,Landbrug!$D$32:$D$45,Landbrug!$E$32:$E$45)),'[1]Afgrødefordeling - jordtype'!$G15)*(Landbrug!$E$5)*Arealanvendelse!P$26</f>
        <v>2173.2535704221305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7.0272497984858573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55000000000000004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4403.4607968214023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500.90563602022252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399.04965430443821</v>
      </c>
      <c r="I18" s="11">
        <f>IF(Landbrug!$E$47&gt;0,SUMIF(Landbrug!$B$32:$B$45,$B18,IF($I$4=År2,Landbrug!$D$32:$D$45,Landbrug!$E$32:$E$45)),'[1]Afgrødefordeling - jordtype'!$G16)*(1-Landbrug!$E$5)*Arealanvendelse!P$26</f>
        <v>3939.7822179621876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54.409152644440603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688.636607240947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78.334286065593687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62.405506200768976</v>
      </c>
      <c r="R18" s="11">
        <f>IF(Landbrug!$E$47&gt;0,SUMIF(Landbrug!$B$32:$B$45,$B18,IF($R$4=År2,Landbrug!$D$32:$D$45,Landbrug!$E$32:$E$45)),'[1]Afgrødefordeling - jordtype'!$G16)*(Landbrug!$E$5)*Arealanvendelse!P$26</f>
        <v>835.7113795677368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11.541335409426795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55000000000000004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166025.40316398395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14158.130367806998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14758.95687153021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1537.8782368318195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25963.935101496812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2214.1236884405648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2308.0841309550201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326.21659569159806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4.7" thickBot="1" x14ac:dyDescent="0.6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1508706.795427307</v>
      </c>
      <c r="G20" s="37">
        <f t="shared" si="2"/>
        <v>57589.715784775086</v>
      </c>
      <c r="H20" s="37">
        <f t="shared" si="2"/>
        <v>43505.277144451371</v>
      </c>
      <c r="I20" s="37">
        <f t="shared" si="2"/>
        <v>1350392.2592133279</v>
      </c>
      <c r="J20" s="37">
        <f t="shared" si="2"/>
        <v>6255.4848888888864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235939.58862410663</v>
      </c>
      <c r="P20" s="37">
        <f t="shared" si="2"/>
        <v>9006.1858887502694</v>
      </c>
      <c r="Q20" s="37">
        <f t="shared" si="2"/>
        <v>6803.5865043826379</v>
      </c>
      <c r="R20" s="37">
        <f t="shared" si="2"/>
        <v>286446.84286343318</v>
      </c>
      <c r="S20" s="37">
        <f t="shared" si="2"/>
        <v>1326.9210370370365</v>
      </c>
      <c r="T20" s="38">
        <f t="shared" si="2"/>
        <v>0</v>
      </c>
      <c r="U20" s="90"/>
    </row>
    <row r="21" spans="1:21" ht="14.7" thickBot="1" x14ac:dyDescent="0.6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55000000000000004">
      <c r="A22" s="60"/>
      <c r="B22" s="44"/>
      <c r="C22" s="434" t="s">
        <v>7</v>
      </c>
      <c r="D22" s="435"/>
      <c r="E22" s="436"/>
      <c r="F22" s="437" t="s">
        <v>8</v>
      </c>
      <c r="G22" s="435"/>
      <c r="H22" s="436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55000000000000004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55000000000000004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4451192.319631801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2734998.260478348</v>
      </c>
      <c r="H24" s="22">
        <f>($F24+$C24)*Landbrug!E11*Landbrug!E6</f>
        <v>720277.08940132696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55000000000000004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519487.36510723934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428286.51876372844</v>
      </c>
      <c r="H25" s="22">
        <f>($F25+$C25)*Landbrug!E12*Landbrug!E7</f>
        <v>139246.39999999999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4.7" thickBot="1" x14ac:dyDescent="0.6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9267841.2008731291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7477118.4636429986</v>
      </c>
      <c r="H26" s="23">
        <f>($F26+$C26)*Landbrug!E13*Landbrug!E8</f>
        <v>8509733.5999999996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4.7" thickBot="1" x14ac:dyDescent="0.6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4.7" thickBot="1" x14ac:dyDescent="0.6">
      <c r="B28" s="6"/>
      <c r="F28" s="83"/>
      <c r="G28" s="83"/>
      <c r="H28" s="83"/>
    </row>
    <row r="29" spans="1:21" ht="20.7" thickBot="1" x14ac:dyDescent="0.8">
      <c r="A29" s="441" t="s">
        <v>24</v>
      </c>
      <c r="B29" s="442"/>
      <c r="C29" s="442"/>
      <c r="D29" s="442"/>
      <c r="E29" s="442"/>
      <c r="F29" s="442"/>
      <c r="G29" s="442"/>
      <c r="H29" s="442"/>
      <c r="I29" s="442"/>
      <c r="J29" s="442"/>
      <c r="K29" s="442"/>
      <c r="L29" s="442"/>
      <c r="M29" s="442"/>
      <c r="N29" s="442"/>
      <c r="O29" s="442"/>
      <c r="P29" s="442"/>
      <c r="Q29" s="442"/>
      <c r="R29" s="442"/>
      <c r="S29" s="442"/>
      <c r="T29" s="442"/>
      <c r="U29" s="443"/>
    </row>
    <row r="30" spans="1:21" x14ac:dyDescent="0.55000000000000004">
      <c r="A30" s="55"/>
      <c r="B30" s="52"/>
      <c r="C30" s="444" t="s">
        <v>7</v>
      </c>
      <c r="D30" s="445"/>
      <c r="E30" s="445"/>
      <c r="F30" s="445"/>
      <c r="G30" s="445"/>
      <c r="H30" s="445"/>
      <c r="I30" s="445"/>
      <c r="J30" s="445"/>
      <c r="K30" s="446"/>
      <c r="L30" s="444" t="s">
        <v>8</v>
      </c>
      <c r="M30" s="445"/>
      <c r="N30" s="445"/>
      <c r="O30" s="445"/>
      <c r="P30" s="445"/>
      <c r="Q30" s="445"/>
      <c r="R30" s="445"/>
      <c r="S30" s="445"/>
      <c r="T30" s="446"/>
      <c r="U30" s="52"/>
    </row>
    <row r="31" spans="1:21" ht="14.7" thickBot="1" x14ac:dyDescent="0.6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55000000000000004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55000000000000004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187763.65679570963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3357.5605834995149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1796.1549250748035</v>
      </c>
      <c r="I33" s="11">
        <f>IF(Landbrug!$E$47&gt;0,SUMIF(Landbrug!$B$32:$B$45,$B33,IF($I$31=År2,Landbrug!$D$32:$D$45,Landbrug!$E$32:$E$45)),'[1]Afgrødefordeling - jordtype'!$P4)*(1-Landbrug!$E$5)*Arealanvendelse!P$36</f>
        <v>0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364.7034753931315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29363.478760225542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525.07317210500355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280.89225514973896</v>
      </c>
      <c r="R33" s="11">
        <f>IF(Landbrug!$E$47&gt;0,SUMIF(Landbrug!$B$32:$B$45,$B33,IF($R$31=År2,Landbrug!$D$32:$D$45,Landbrug!$E$32:$E$45)),'[1]Afgrødefordeling - jordtype'!$P4)*(Landbrug!$E$5)*Arealanvendelse!P$36</f>
        <v>0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77.361343265209698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55000000000000004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55871.136900186779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90.793805177184794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32.624096434599416</v>
      </c>
      <c r="I34" s="11">
        <f>IF(Landbrug!$E$47&gt;0,SUMIF(Landbrug!$B$32:$B$45,$B34,IF($I$31=År2,Landbrug!$D$32:$D$45,Landbrug!$E$32:$E$45)),'[1]Afgrødefordeling - jordtype'!$P5)*(1-Landbrug!$E$5)*Arealanvendelse!P$36</f>
        <v>105826.23519666794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9.8621649464842704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8737.4253871890633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14.198817893608684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5.1019296230003928</v>
      </c>
      <c r="R34" s="11">
        <f>IF(Landbrug!$E$47&gt;0,SUMIF(Landbrug!$B$32:$B$45,$B34,IF($R$31=År2,Landbrug!$D$32:$D$45,Landbrug!$E$32:$E$45)),'[1]Afgrødefordeling - jordtype'!$P5)*(Landbrug!$E$5)*Arealanvendelse!P$36</f>
        <v>22447.989284141684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2.0919743825875723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55000000000000004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29918.393234476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366.73036231407929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159.36107732825297</v>
      </c>
      <c r="I35" s="11">
        <f>IF(Landbrug!$E$47&gt;0,SUMIF(Landbrug!$B$32:$B$45,$B35,IF($I$31=År2,Landbrug!$D$32:$D$45,Landbrug!$E$32:$E$45)),'[1]Afgrødefordeling - jordtype'!$P6)*(1-Landbrug!$E$5)*Arealanvendelse!P$36</f>
        <v>63495.741118000762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39.83482482056197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4678.7973736389513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57.351243517032643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24.921732401207365</v>
      </c>
      <c r="R35" s="11">
        <f>IF(Landbrug!$E$47&gt;0,SUMIF(Landbrug!$B$32:$B$45,$B35,IF($R$31=År2,Landbrug!$D$32:$D$45,Landbrug!$E$32:$E$45)),'[1]Afgrødefordeling - jordtype'!$P6)*(Landbrug!$E$5)*Arealanvendelse!P$36</f>
        <v>13468.79357048501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8.4498113255737515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55000000000000004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41216.4124673509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1078.3409265177115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1171.0785614452748</v>
      </c>
      <c r="I36" s="11">
        <f>IF(Landbrug!$E$47&gt;0,SUMIF(Landbrug!$B$32:$B$45,$B36,IF($I$31=År2,Landbrug!$D$32:$D$45,Landbrug!$E$32:$E$45)),'[1]Afgrødefordeling - jordtype'!$P7)*(1-Landbrug!$E$5)*Arealanvendelse!P$36</f>
        <v>148156.72927533509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117.13107590444632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6445.6416790739004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168.63668631323898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183.13949063618546</v>
      </c>
      <c r="R36" s="11">
        <f>IF(Landbrug!$E$47&gt;0,SUMIF(Landbrug!$B$32:$B$45,$B36,IF($R$31=År2,Landbrug!$D$32:$D$45,Landbrug!$E$32:$E$45)),'[1]Afgrødefordeling - jordtype'!$P7)*(Landbrug!$E$5)*Arealanvendelse!P$36</f>
        <v>31427.184997798355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24.845985797912856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55000000000000004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13738.804155783633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20.422609337589453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5.5117970826864369</v>
      </c>
      <c r="I37" s="11">
        <f>IF(Landbrug!$E$47&gt;0,SUMIF(Landbrug!$B$32:$B$45,$B37,IF($I$31=År2,Landbrug!$D$32:$D$45,Landbrug!$E$32:$E$45)),'[1]Afgrødefordeling - jordtype'!$P8)*(1-Landbrug!$E$5)*Arealanvendelse!P$36</f>
        <v>42330.49407866718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2.2183357282125327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2148.5472263579668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3.1937962103345354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0.86196412729768701</v>
      </c>
      <c r="R37" s="11">
        <f>IF(Landbrug!$E$47&gt;0,SUMIF(Landbrug!$B$32:$B$45,$B37,IF($R$31=År2,Landbrug!$D$32:$D$45,Landbrug!$E$32:$E$45)),'[1]Afgrødefordeling - jordtype'!$P8)*(Landbrug!$E$5)*Arealanvendelse!P$36</f>
        <v>8979.1957136566725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0.47055606356023416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55000000000000004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10028.083100484339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34.720305000251777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31.416585856718971</v>
      </c>
      <c r="I38" s="11">
        <f>IF(Landbrug!$E$47&gt;0,SUMIF(Landbrug!$B$32:$B$45,$B38,IF($I$31=År2,Landbrug!$D$32:$D$45,Landbrug!$E$32:$E$45)),'[1]Afgrødefordeling - jordtype'!$P9)*(1-Landbrug!$E$5)*Arealanvendelse!P$36</f>
        <v>0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3.7713737653851549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1568.244942349125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5.429745861483144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4.9130926999694466</v>
      </c>
      <c r="R38" s="11">
        <f>IF(Landbrug!$E$47&gt;0,SUMIF(Landbrug!$B$32:$B$45,$B38,IF($R$31=År2,Landbrug!$D$32:$D$45,Landbrug!$E$32:$E$45)),'[1]Afgrødefordeling - jordtype'!$P9)*(Landbrug!$E$5)*Arealanvendelse!P$36</f>
        <v>0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0.79998837447563886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55000000000000004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6167.3090700992734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97.001227381554372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36.178887809125172</v>
      </c>
      <c r="I39" s="11">
        <f>IF(Landbrug!$E$47&gt;0,SUMIF(Landbrug!$B$32:$B$45,$B39,IF($I$31=År2,Landbrug!$D$32:$D$45,Landbrug!$E$32:$E$45)),'[1]Afgrødefordeling - jordtype'!$P10)*(1-Landbrug!$E$5)*Arealanvendelse!P$36</f>
        <v>0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10.536424842878008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964.47657644759033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15.169567575226109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5.6578467946418041</v>
      </c>
      <c r="R39" s="11">
        <f>IF(Landbrug!$E$47&gt;0,SUMIF(Landbrug!$B$32:$B$45,$B39,IF($R$31=År2,Landbrug!$D$32:$D$45,Landbrug!$E$32:$E$45)),'[1]Afgrødefordeling - jordtype'!$P10)*(Landbrug!$E$5)*Arealanvendelse!P$36</f>
        <v>0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2.234999209095335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55000000000000004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25645.767757462785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103.41827733151489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37.160330995922486</v>
      </c>
      <c r="I40" s="11">
        <f>IF(Landbrug!$E$47&gt;0,SUMIF(Landbrug!$B$32:$B$45,$B40,IF($I$31=År2,Landbrug!$D$32:$D$45,Landbrug!$E$32:$E$45)),'[1]Afgrødefordeling - jordtype'!$P11)*(1-Landbrug!$E$5)*Arealanvendelse!P$36</f>
        <v>0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11.233454832455337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4010.6214892015382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16.173099958034264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5.8113300973303872</v>
      </c>
      <c r="R40" s="11">
        <f>IF(Landbrug!$E$47&gt;0,SUMIF(Landbrug!$B$32:$B$45,$B40,IF($R$31=År2,Landbrug!$D$32:$D$45,Landbrug!$E$32:$E$45)),'[1]Afgrødefordeling - jordtype'!$P11)*(Landbrug!$E$5)*Arealanvendelse!P$36</f>
        <v>0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2.3828540553693136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55000000000000004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929.74672367167705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22.309448342014662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13.484572661869436</v>
      </c>
      <c r="I41" s="11">
        <f>IF(Landbrug!$E$47&gt;0,SUMIF(Landbrug!$B$32:$B$45,$B41,IF($I$31=År2,Landbrug!$D$32:$D$45,Landbrug!$E$32:$E$45)),'[1]Afgrødefordeling - jordtype'!$P12)*(1-Landbrug!$E$5)*Arealanvendelse!P$36</f>
        <v>59049.1578802449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2.4232871282864399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145.3987349779097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3.4888701238698125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2.1087891539006742</v>
      </c>
      <c r="R41" s="11">
        <f>IF(Landbrug!$E$47&gt;0,SUMIF(Landbrug!$B$32:$B$45,$B41,IF($R$31=År2,Landbrug!$D$32:$D$45,Landbrug!$E$32:$E$45)),'[1]Afgrødefordeling - jordtype'!$P12)*(Landbrug!$E$5)*Arealanvendelse!P$36</f>
        <v>12525.578944294373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0.51403060296985081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55000000000000004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12808.536087713192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159.30028150544692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96.286388981255755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17.303445418574402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2003.0669607716254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24.912224827259667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15.057777346262895</v>
      </c>
      <c r="R42" s="11">
        <f>IF(Landbrug!$E$47&gt;0,SUMIF(Landbrug!$B$32:$B$45,$B42,IF($R$31=År2,Landbrug!$D$32:$D$45,Landbrug!$E$32:$E$45)),'[1]Afgrødefordeling - jordtype'!$P13)*(Landbrug!$E$5)*Arealanvendelse!P$36</f>
        <v>0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3.6704278160612374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55000000000000004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18499.440531980632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1156.5124894314743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901.06512085105521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125.62219317919325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2893.0408493688915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180.86157086461591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140.91335346369644</v>
      </c>
      <c r="R43" s="11">
        <f>IF(Landbrug!$E$47&gt;0,SUMIF(Landbrug!$B$32:$B$45,$B43,IF($R$31=År2,Landbrug!$D$32:$D$45,Landbrug!$E$32:$E$45)),'[1]Afgrødefordeling - jordtype'!$P14)*(Landbrug!$E$5)*Arealanvendelse!P$36</f>
        <v>0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26.647131886495536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55000000000000004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3474.513791857044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34.958778596980039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21.130248625350497</v>
      </c>
      <c r="I44" s="11">
        <f>IF(Landbrug!$E$47&gt;0,SUMIF(Landbrug!$B$32:$B$45,$B44,IF($I$31=År2,Landbrug!$D$32:$D$45,Landbrug!$E$32:$E$45)),'[1]Afgrødefordeling - jordtype'!$P15)*(1-Landbrug!$E$5)*Arealanvendelse!P$36</f>
        <v>3211.5870600834623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3.7972771399791134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543.36293652561767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5.467039630212966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3.3044606038102131</v>
      </c>
      <c r="R44" s="11">
        <f>IF(Landbrug!$E$47&gt;0,SUMIF(Landbrug!$B$32:$B$45,$B44,IF($R$31=År2,Landbrug!$D$32:$D$45,Landbrug!$E$32:$E$45)),'[1]Afgrødefordeling - jordtype'!$P15)*(Landbrug!$E$5)*Arealanvendelse!P$36</f>
        <v>681.24574001770407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0.80548302969253915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55000000000000004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1336.1030456082347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74.1955849335599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64.456117245548413</v>
      </c>
      <c r="I45" s="11">
        <f>IF(Landbrug!$E$47&gt;0,SUMIF(Landbrug!$B$32:$B$45,$B45,IF($I$31=År2,Landbrug!$D$32:$D$45,Landbrug!$E$32:$E$45)),'[1]Afgrødefordeling - jordtype'!$P16)*(1-Landbrug!$E$5)*Arealanvendelse!P$36</f>
        <v>1234.9961776724069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8.0592403356999522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208.94689670363573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11.603099979403883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10.079990249473639</v>
      </c>
      <c r="R45" s="11">
        <f>IF(Landbrug!$E$47&gt;0,SUMIF(Landbrug!$B$32:$B$45,$B45,IF($R$31=År2,Landbrug!$D$32:$D$45,Landbrug!$E$32:$E$45)),'[1]Afgrødefordeling - jordtype'!$P16)*(Landbrug!$E$5)*Arealanvendelse!P$36</f>
        <v>261.96888617293479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1.7095358287848383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55000000000000004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50375.615237873317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2150.2962504007219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2241.5480572801857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233.56853767582237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7878.0064966458776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336.27475814199715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350.54520077644509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49.544841325174438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4.7" thickBot="1" x14ac:dyDescent="0.6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457773.51890025742</v>
      </c>
      <c r="G47" s="37">
        <f t="shared" si="3"/>
        <v>8746.5609297695992</v>
      </c>
      <c r="H47" s="37">
        <f t="shared" si="3"/>
        <v>6607.4567676726492</v>
      </c>
      <c r="I47" s="37">
        <f t="shared" si="3"/>
        <v>423304.94078667177</v>
      </c>
      <c r="J47" s="37">
        <f t="shared" si="3"/>
        <v>950.06511111111058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71589.056309477251</v>
      </c>
      <c r="P47" s="37">
        <f t="shared" si="3"/>
        <v>1367.8336930013215</v>
      </c>
      <c r="Q47" s="37">
        <f t="shared" si="3"/>
        <v>1033.3092131229605</v>
      </c>
      <c r="R47" s="37">
        <f t="shared" si="3"/>
        <v>89791.957136566751</v>
      </c>
      <c r="S47" s="37">
        <f t="shared" si="3"/>
        <v>201.52896296296285</v>
      </c>
      <c r="T47" s="38">
        <f t="shared" si="3"/>
        <v>0</v>
      </c>
      <c r="U47" s="52"/>
    </row>
    <row r="48" spans="1:21" ht="14.7" thickBot="1" x14ac:dyDescent="0.6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55000000000000004">
      <c r="A49" s="55"/>
      <c r="B49" s="48"/>
      <c r="C49" s="434" t="s">
        <v>7</v>
      </c>
      <c r="D49" s="435"/>
      <c r="E49" s="436"/>
      <c r="F49" s="437" t="s">
        <v>8</v>
      </c>
      <c r="G49" s="435"/>
      <c r="H49" s="436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55000000000000004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55000000000000004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1409264.2692300314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147284.73076996871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55000000000000004">
      <c r="A52" s="55"/>
      <c r="B52" s="30" t="s">
        <v>3</v>
      </c>
      <c r="C52" s="34">
        <f>SUM([1]Dyrehold!$D$22:$D$23)-F52</f>
        <v>82455</v>
      </c>
      <c r="D52" s="11">
        <f>SUM([1]Dyrehold!$D$22:$D$23)-G52</f>
        <v>49361.692337422792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49606.307662577208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4.7" thickBot="1" x14ac:dyDescent="0.6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1110078.7475035731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675468.25249642704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4.7" thickBot="1" x14ac:dyDescent="0.6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E36" sqref="E36"/>
    </sheetView>
  </sheetViews>
  <sheetFormatPr defaultRowHeight="14.4" x14ac:dyDescent="0.55000000000000004"/>
  <cols>
    <col min="1" max="1" width="21.26171875" bestFit="1" customWidth="1"/>
    <col min="2" max="2" width="16.26171875" bestFit="1" customWidth="1"/>
    <col min="3" max="3" width="9.15625" bestFit="1" customWidth="1"/>
    <col min="4" max="4" width="9" bestFit="1" customWidth="1"/>
    <col min="5" max="5" width="11.578125" bestFit="1" customWidth="1"/>
    <col min="6" max="6" width="4.41796875" bestFit="1" customWidth="1"/>
    <col min="7" max="7" width="12.15625" bestFit="1" customWidth="1"/>
    <col min="8" max="8" width="11.15625" bestFit="1" customWidth="1"/>
    <col min="9" max="9" width="5.578125" bestFit="1" customWidth="1"/>
    <col min="10" max="10" width="8.41796875" bestFit="1" customWidth="1"/>
    <col min="11" max="11" width="5.68359375" bestFit="1" customWidth="1"/>
    <col min="12" max="12" width="10.83984375" bestFit="1" customWidth="1"/>
    <col min="13" max="13" width="5.578125" bestFit="1" customWidth="1"/>
    <col min="14" max="14" width="15.41796875" bestFit="1" customWidth="1"/>
    <col min="15" max="15" width="14.578125" bestFit="1" customWidth="1"/>
    <col min="16" max="16" width="13.15625" bestFit="1" customWidth="1"/>
    <col min="17" max="17" width="8.83984375" bestFit="1" customWidth="1"/>
    <col min="18" max="18" width="5.15625" bestFit="1" customWidth="1"/>
    <col min="19" max="19" width="10.15625" bestFit="1" customWidth="1"/>
    <col min="20" max="20" width="13.83984375" bestFit="1" customWidth="1"/>
    <col min="21" max="21" width="5.26171875" bestFit="1" customWidth="1"/>
    <col min="22" max="22" width="16" bestFit="1" customWidth="1"/>
    <col min="23" max="23" width="8.68359375" bestFit="1" customWidth="1"/>
    <col min="24" max="25" width="5.15625" bestFit="1" customWidth="1"/>
    <col min="26" max="26" width="20.68359375" bestFit="1" customWidth="1"/>
    <col min="27" max="27" width="16" bestFit="1" customWidth="1"/>
    <col min="28" max="28" width="10.15625" bestFit="1" customWidth="1"/>
    <col min="29" max="29" width="9.15625" bestFit="1" customWidth="1"/>
    <col min="30" max="30" width="12" bestFit="1" customWidth="1"/>
    <col min="31" max="31" width="12.83984375" bestFit="1" customWidth="1"/>
    <col min="32" max="32" width="9.26171875" bestFit="1" customWidth="1"/>
    <col min="33" max="33" width="8.578125" bestFit="1" customWidth="1"/>
    <col min="34" max="34" width="11" bestFit="1" customWidth="1"/>
    <col min="35" max="35" width="13.26171875" bestFit="1" customWidth="1"/>
    <col min="36" max="36" width="13.83984375" bestFit="1" customWidth="1"/>
    <col min="37" max="37" width="11.26171875" bestFit="1" customWidth="1"/>
    <col min="38" max="38" width="7.578125" bestFit="1" customWidth="1"/>
    <col min="39" max="39" width="9.83984375" bestFit="1" customWidth="1"/>
    <col min="40" max="40" width="11.83984375" bestFit="1" customWidth="1"/>
    <col min="41" max="41" width="10.26171875" bestFit="1" customWidth="1"/>
    <col min="42" max="42" width="10.578125" bestFit="1" customWidth="1"/>
    <col min="43" max="43" width="12.26171875" bestFit="1" customWidth="1"/>
    <col min="44" max="44" width="10.15625" bestFit="1" customWidth="1"/>
    <col min="45" max="45" width="15" bestFit="1" customWidth="1"/>
    <col min="46" max="46" width="12" bestFit="1" customWidth="1"/>
  </cols>
  <sheetData>
    <row r="3" spans="1:37" x14ac:dyDescent="0.55000000000000004">
      <c r="A3" s="75" t="s">
        <v>174</v>
      </c>
      <c r="B3" s="75" t="s">
        <v>62</v>
      </c>
    </row>
    <row r="4" spans="1:37" x14ac:dyDescent="0.55000000000000004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238</v>
      </c>
      <c r="AG4" t="s">
        <v>231</v>
      </c>
      <c r="AH4" t="s">
        <v>110</v>
      </c>
      <c r="AI4" t="s">
        <v>115</v>
      </c>
      <c r="AJ4" t="s">
        <v>118</v>
      </c>
      <c r="AK4" t="s">
        <v>61</v>
      </c>
    </row>
    <row r="5" spans="1:37" x14ac:dyDescent="0.55000000000000004">
      <c r="A5" s="76" t="s">
        <v>109</v>
      </c>
      <c r="B5" s="216"/>
      <c r="C5" s="216"/>
      <c r="D5" s="216">
        <v>729134</v>
      </c>
      <c r="E5" s="216">
        <v>3270332.9910784294</v>
      </c>
      <c r="F5" s="216"/>
      <c r="G5" s="216">
        <v>16494.742368351181</v>
      </c>
      <c r="H5" s="216"/>
      <c r="I5" s="216"/>
      <c r="J5" s="216">
        <v>428226</v>
      </c>
      <c r="K5" s="216">
        <v>85676.999999999956</v>
      </c>
      <c r="L5" s="216"/>
      <c r="M5" s="216">
        <v>75933.999999999971</v>
      </c>
      <c r="N5" s="216">
        <v>1730078</v>
      </c>
      <c r="O5" s="216"/>
      <c r="P5" s="216">
        <v>995654</v>
      </c>
      <c r="Q5" s="216"/>
      <c r="R5" s="216">
        <v>3786</v>
      </c>
      <c r="S5" s="216">
        <v>11260053.234538414</v>
      </c>
      <c r="T5" s="216"/>
      <c r="U5" s="216">
        <v>330026.00000000006</v>
      </c>
      <c r="V5" s="216"/>
      <c r="W5" s="216"/>
      <c r="X5" s="216"/>
      <c r="Y5" s="216">
        <v>28644.999999999993</v>
      </c>
      <c r="Z5" s="216"/>
      <c r="AA5" s="216">
        <v>14869354.308250314</v>
      </c>
      <c r="AB5" s="216">
        <v>8630210.43433493</v>
      </c>
      <c r="AC5" s="216"/>
      <c r="AD5" s="216"/>
      <c r="AE5" s="216"/>
      <c r="AF5" s="216"/>
      <c r="AG5" s="216"/>
      <c r="AH5" s="216"/>
      <c r="AI5" s="216"/>
      <c r="AJ5" s="216"/>
      <c r="AK5" s="216">
        <v>42453605.71057044</v>
      </c>
    </row>
    <row r="6" spans="1:37" x14ac:dyDescent="0.55000000000000004">
      <c r="A6" s="77">
        <v>2019</v>
      </c>
      <c r="B6" s="216"/>
      <c r="C6" s="216"/>
      <c r="D6" s="216">
        <v>729134</v>
      </c>
      <c r="E6" s="216">
        <v>757087.00000000012</v>
      </c>
      <c r="F6" s="216"/>
      <c r="G6" s="216">
        <v>4441.5</v>
      </c>
      <c r="H6" s="216"/>
      <c r="I6" s="216"/>
      <c r="J6" s="216">
        <v>142742</v>
      </c>
      <c r="K6" s="216">
        <v>85676.999999999956</v>
      </c>
      <c r="L6" s="216"/>
      <c r="M6" s="216">
        <v>75933.999999999971</v>
      </c>
      <c r="N6" s="216">
        <v>78</v>
      </c>
      <c r="O6" s="216"/>
      <c r="P6" s="216">
        <v>995654</v>
      </c>
      <c r="Q6" s="216"/>
      <c r="R6" s="216">
        <v>3786</v>
      </c>
      <c r="S6" s="216">
        <v>4353509.666666667</v>
      </c>
      <c r="T6" s="216"/>
      <c r="U6" s="216">
        <v>330026.00000000006</v>
      </c>
      <c r="V6" s="216"/>
      <c r="W6" s="216"/>
      <c r="X6" s="216"/>
      <c r="Y6" s="216">
        <v>28644.999999999993</v>
      </c>
      <c r="Z6" s="216"/>
      <c r="AA6" s="216">
        <v>2668834</v>
      </c>
      <c r="AB6" s="216">
        <v>2914869.3333333335</v>
      </c>
      <c r="AC6" s="216"/>
      <c r="AD6" s="216"/>
      <c r="AE6" s="216"/>
      <c r="AF6" s="216"/>
      <c r="AG6" s="216"/>
      <c r="AH6" s="216"/>
      <c r="AI6" s="216"/>
      <c r="AJ6" s="216"/>
      <c r="AK6" s="216">
        <v>13090417.500000002</v>
      </c>
    </row>
    <row r="7" spans="1:37" x14ac:dyDescent="0.55000000000000004">
      <c r="A7" s="77">
        <v>2030</v>
      </c>
      <c r="B7" s="216"/>
      <c r="C7" s="216"/>
      <c r="D7" s="216">
        <v>0</v>
      </c>
      <c r="E7" s="216">
        <v>2106143.9491047473</v>
      </c>
      <c r="F7" s="216"/>
      <c r="G7" s="216">
        <v>6572.2723545464542</v>
      </c>
      <c r="H7" s="216"/>
      <c r="I7" s="216"/>
      <c r="J7" s="216">
        <v>142742</v>
      </c>
      <c r="K7" s="216">
        <v>0</v>
      </c>
      <c r="L7" s="216"/>
      <c r="M7" s="216">
        <v>0</v>
      </c>
      <c r="N7" s="216">
        <v>750000</v>
      </c>
      <c r="O7" s="216"/>
      <c r="P7" s="216">
        <v>0</v>
      </c>
      <c r="Q7" s="216"/>
      <c r="R7" s="216">
        <v>0</v>
      </c>
      <c r="S7" s="216">
        <v>6149984.92344434</v>
      </c>
      <c r="T7" s="216"/>
      <c r="U7" s="216">
        <v>0</v>
      </c>
      <c r="V7" s="216"/>
      <c r="W7" s="216"/>
      <c r="X7" s="216"/>
      <c r="Y7" s="216">
        <v>0</v>
      </c>
      <c r="Z7" s="216"/>
      <c r="AA7" s="216">
        <v>5448586.1690262407</v>
      </c>
      <c r="AB7" s="216">
        <v>5715341.1010015961</v>
      </c>
      <c r="AC7" s="216"/>
      <c r="AD7" s="216"/>
      <c r="AE7" s="216"/>
      <c r="AF7" s="216"/>
      <c r="AG7" s="216"/>
      <c r="AH7" s="216"/>
      <c r="AI7" s="216"/>
      <c r="AJ7" s="216"/>
      <c r="AK7" s="216">
        <v>20319370.414931469</v>
      </c>
    </row>
    <row r="8" spans="1:37" x14ac:dyDescent="0.55000000000000004">
      <c r="A8" s="77">
        <v>2050</v>
      </c>
      <c r="B8" s="216"/>
      <c r="C8" s="216"/>
      <c r="D8" s="216">
        <v>0</v>
      </c>
      <c r="E8" s="216">
        <v>407102.0419736823</v>
      </c>
      <c r="F8" s="216"/>
      <c r="G8" s="216">
        <v>5480.9700138047265</v>
      </c>
      <c r="H8" s="216"/>
      <c r="I8" s="216"/>
      <c r="J8" s="216">
        <v>142742</v>
      </c>
      <c r="K8" s="216">
        <v>0</v>
      </c>
      <c r="L8" s="216"/>
      <c r="M8" s="216">
        <v>0</v>
      </c>
      <c r="N8" s="216">
        <v>980000</v>
      </c>
      <c r="O8" s="216"/>
      <c r="P8" s="216">
        <v>0</v>
      </c>
      <c r="Q8" s="216"/>
      <c r="R8" s="216">
        <v>0</v>
      </c>
      <c r="S8" s="216">
        <v>756558.64442740742</v>
      </c>
      <c r="T8" s="216"/>
      <c r="U8" s="216">
        <v>0</v>
      </c>
      <c r="V8" s="216"/>
      <c r="W8" s="216"/>
      <c r="X8" s="216"/>
      <c r="Y8" s="216">
        <v>0</v>
      </c>
      <c r="Z8" s="216"/>
      <c r="AA8" s="216">
        <v>6751934.1392240729</v>
      </c>
      <c r="AB8" s="216">
        <v>0</v>
      </c>
      <c r="AC8" s="216"/>
      <c r="AD8" s="216"/>
      <c r="AE8" s="216"/>
      <c r="AF8" s="216"/>
      <c r="AG8" s="216"/>
      <c r="AH8" s="216"/>
      <c r="AI8" s="216"/>
      <c r="AJ8" s="216"/>
      <c r="AK8" s="216">
        <v>9043817.7956389673</v>
      </c>
    </row>
    <row r="9" spans="1:37" x14ac:dyDescent="0.55000000000000004">
      <c r="A9" s="76" t="s">
        <v>112</v>
      </c>
      <c r="B9" s="216"/>
      <c r="C9" s="216">
        <v>127499.95966883012</v>
      </c>
      <c r="D9" s="216"/>
      <c r="E9" s="216"/>
      <c r="F9" s="216"/>
      <c r="G9" s="216"/>
      <c r="H9" s="216"/>
      <c r="I9" s="216"/>
      <c r="J9" s="216"/>
      <c r="K9" s="216">
        <v>24191346.514387332</v>
      </c>
      <c r="L9" s="216"/>
      <c r="M9" s="216">
        <v>1528228.6832527835</v>
      </c>
      <c r="N9" s="216"/>
      <c r="O9" s="216">
        <v>9544788.6474304795</v>
      </c>
      <c r="P9" s="216"/>
      <c r="Q9" s="216">
        <v>0</v>
      </c>
      <c r="R9" s="216">
        <v>11621975.4903685</v>
      </c>
      <c r="S9" s="216"/>
      <c r="T9" s="216">
        <v>2996249.0522175082</v>
      </c>
      <c r="U9" s="216">
        <v>11182808.962620307</v>
      </c>
      <c r="V9" s="216"/>
      <c r="W9" s="216"/>
      <c r="X9" s="216"/>
      <c r="Y9" s="216">
        <v>1662811.9740143262</v>
      </c>
      <c r="Z9" s="216">
        <v>77916.642019840641</v>
      </c>
      <c r="AA9" s="216"/>
      <c r="AB9" s="216"/>
      <c r="AC9" s="216"/>
      <c r="AD9" s="216"/>
      <c r="AE9" s="216"/>
      <c r="AF9" s="216">
        <v>423229.03278958891</v>
      </c>
      <c r="AG9" s="216"/>
      <c r="AH9" s="216"/>
      <c r="AI9" s="216"/>
      <c r="AJ9" s="216"/>
      <c r="AK9" s="216">
        <v>63356854.958769485</v>
      </c>
    </row>
    <row r="10" spans="1:37" x14ac:dyDescent="0.55000000000000004">
      <c r="A10" s="77">
        <v>2019</v>
      </c>
      <c r="B10" s="216"/>
      <c r="C10" s="216">
        <v>72415.092228932088</v>
      </c>
      <c r="D10" s="216"/>
      <c r="E10" s="216"/>
      <c r="F10" s="216"/>
      <c r="G10" s="216"/>
      <c r="H10" s="216"/>
      <c r="I10" s="216"/>
      <c r="J10" s="216"/>
      <c r="K10" s="216">
        <v>13739757.985270014</v>
      </c>
      <c r="L10" s="216"/>
      <c r="M10" s="216">
        <v>867975.34157733875</v>
      </c>
      <c r="N10" s="216"/>
      <c r="O10" s="216">
        <v>5421074.2654714445</v>
      </c>
      <c r="P10" s="216"/>
      <c r="Q10" s="216">
        <v>0</v>
      </c>
      <c r="R10" s="216">
        <v>6600836.8097011279</v>
      </c>
      <c r="S10" s="216"/>
      <c r="T10" s="216">
        <v>1701754.6673799041</v>
      </c>
      <c r="U10" s="216">
        <v>6351407.0475792512</v>
      </c>
      <c r="V10" s="216"/>
      <c r="W10" s="216"/>
      <c r="X10" s="216"/>
      <c r="Y10" s="216">
        <v>944413.49448565592</v>
      </c>
      <c r="Z10" s="216">
        <v>44253.667473236274</v>
      </c>
      <c r="AA10" s="216"/>
      <c r="AB10" s="216"/>
      <c r="AC10" s="216"/>
      <c r="AD10" s="216"/>
      <c r="AE10" s="216"/>
      <c r="AF10" s="216">
        <v>240377.87559326066</v>
      </c>
      <c r="AG10" s="216"/>
      <c r="AH10" s="216"/>
      <c r="AI10" s="216"/>
      <c r="AJ10" s="216"/>
      <c r="AK10" s="216">
        <v>35984266.24676016</v>
      </c>
    </row>
    <row r="11" spans="1:37" x14ac:dyDescent="0.55000000000000004">
      <c r="A11" s="77">
        <v>2030</v>
      </c>
      <c r="B11" s="216"/>
      <c r="C11" s="216">
        <v>48910.366343274291</v>
      </c>
      <c r="D11" s="216"/>
      <c r="E11" s="216"/>
      <c r="F11" s="216"/>
      <c r="G11" s="216"/>
      <c r="H11" s="216"/>
      <c r="I11" s="216"/>
      <c r="J11" s="216"/>
      <c r="K11" s="216">
        <v>9280062.7029926386</v>
      </c>
      <c r="L11" s="216"/>
      <c r="M11" s="216">
        <v>586245.08547563502</v>
      </c>
      <c r="N11" s="216"/>
      <c r="O11" s="216">
        <v>3661484.3693090063</v>
      </c>
      <c r="P11" s="216"/>
      <c r="Q11" s="216">
        <v>0</v>
      </c>
      <c r="R11" s="216">
        <v>4458315.7543181824</v>
      </c>
      <c r="S11" s="216"/>
      <c r="T11" s="216">
        <v>1149393.6090669457</v>
      </c>
      <c r="U11" s="216">
        <v>4289846.7146913484</v>
      </c>
      <c r="V11" s="216"/>
      <c r="W11" s="216"/>
      <c r="X11" s="216"/>
      <c r="Y11" s="216">
        <v>637872.69439353561</v>
      </c>
      <c r="Z11" s="216">
        <v>29889.668320889847</v>
      </c>
      <c r="AA11" s="216"/>
      <c r="AB11" s="216"/>
      <c r="AC11" s="216"/>
      <c r="AD11" s="216"/>
      <c r="AE11" s="216"/>
      <c r="AF11" s="216">
        <v>162355.24383392438</v>
      </c>
      <c r="AG11" s="216"/>
      <c r="AH11" s="216"/>
      <c r="AI11" s="216"/>
      <c r="AJ11" s="216"/>
      <c r="AK11" s="216">
        <v>24304376.208745379</v>
      </c>
    </row>
    <row r="12" spans="1:37" x14ac:dyDescent="0.55000000000000004">
      <c r="A12" s="77">
        <v>2050</v>
      </c>
      <c r="B12" s="216"/>
      <c r="C12" s="216">
        <v>6174.5010966237514</v>
      </c>
      <c r="D12" s="216"/>
      <c r="E12" s="216"/>
      <c r="F12" s="216"/>
      <c r="G12" s="216"/>
      <c r="H12" s="216"/>
      <c r="I12" s="216"/>
      <c r="J12" s="216"/>
      <c r="K12" s="216">
        <v>1171525.8261246812</v>
      </c>
      <c r="L12" s="216"/>
      <c r="M12" s="216">
        <v>74008.256199809693</v>
      </c>
      <c r="N12" s="216"/>
      <c r="O12" s="216">
        <v>462230.0126500281</v>
      </c>
      <c r="P12" s="216"/>
      <c r="Q12" s="216">
        <v>0</v>
      </c>
      <c r="R12" s="216">
        <v>562822.92634918995</v>
      </c>
      <c r="S12" s="216"/>
      <c r="T12" s="216">
        <v>145100.77577065813</v>
      </c>
      <c r="U12" s="216">
        <v>541555.20034970809</v>
      </c>
      <c r="V12" s="216"/>
      <c r="W12" s="216"/>
      <c r="X12" s="216"/>
      <c r="Y12" s="216">
        <v>80525.785135134764</v>
      </c>
      <c r="Z12" s="216">
        <v>3773.3062257145148</v>
      </c>
      <c r="AA12" s="216"/>
      <c r="AB12" s="216"/>
      <c r="AC12" s="216"/>
      <c r="AD12" s="216"/>
      <c r="AE12" s="216"/>
      <c r="AF12" s="216">
        <v>20495.91336240384</v>
      </c>
      <c r="AG12" s="216"/>
      <c r="AH12" s="216"/>
      <c r="AI12" s="216"/>
      <c r="AJ12" s="216"/>
      <c r="AK12" s="216">
        <v>3068212.5032639522</v>
      </c>
    </row>
    <row r="13" spans="1:37" x14ac:dyDescent="0.55000000000000004">
      <c r="A13" s="76" t="s">
        <v>127</v>
      </c>
      <c r="B13" s="216">
        <v>182574.19618217932</v>
      </c>
      <c r="C13" s="216">
        <v>0</v>
      </c>
      <c r="D13" s="216"/>
      <c r="E13" s="216"/>
      <c r="F13" s="216">
        <v>281468.55244752642</v>
      </c>
      <c r="G13" s="216"/>
      <c r="H13" s="216">
        <v>197788.71253069426</v>
      </c>
      <c r="I13" s="216">
        <v>1445379.0531089196</v>
      </c>
      <c r="J13" s="216"/>
      <c r="K13" s="216"/>
      <c r="L13" s="216">
        <v>1513844.376677237</v>
      </c>
      <c r="M13" s="216"/>
      <c r="N13" s="216"/>
      <c r="O13" s="216"/>
      <c r="P13" s="216"/>
      <c r="Q13" s="216">
        <v>692260.49385742994</v>
      </c>
      <c r="R13" s="216">
        <v>1658382.281988129</v>
      </c>
      <c r="S13" s="216"/>
      <c r="T13" s="216"/>
      <c r="U13" s="216"/>
      <c r="V13" s="216">
        <v>2647325.8446415998</v>
      </c>
      <c r="W13" s="216">
        <v>336392.95646566537</v>
      </c>
      <c r="X13" s="216"/>
      <c r="Y13" s="216"/>
      <c r="Z13" s="216"/>
      <c r="AA13" s="216"/>
      <c r="AB13" s="216"/>
      <c r="AC13" s="216">
        <v>682979.63888483576</v>
      </c>
      <c r="AD13" s="216"/>
      <c r="AE13" s="216"/>
      <c r="AF13" s="216"/>
      <c r="AG13" s="216"/>
      <c r="AH13" s="216"/>
      <c r="AI13" s="216"/>
      <c r="AJ13" s="216"/>
      <c r="AK13" s="216">
        <v>9638396.1067842171</v>
      </c>
    </row>
    <row r="14" spans="1:37" x14ac:dyDescent="0.55000000000000004">
      <c r="A14" s="77">
        <v>2019</v>
      </c>
      <c r="B14" s="216">
        <v>58403.100598004137</v>
      </c>
      <c r="C14" s="216">
        <v>0</v>
      </c>
      <c r="D14" s="216"/>
      <c r="E14" s="216"/>
      <c r="F14" s="216">
        <v>90038.113421923044</v>
      </c>
      <c r="G14" s="216"/>
      <c r="H14" s="216">
        <v>63270.025647837821</v>
      </c>
      <c r="I14" s="216">
        <v>462357.87973419944</v>
      </c>
      <c r="J14" s="216"/>
      <c r="K14" s="216"/>
      <c r="L14" s="216">
        <v>484259.042458451</v>
      </c>
      <c r="M14" s="216"/>
      <c r="N14" s="216"/>
      <c r="O14" s="216"/>
      <c r="P14" s="216"/>
      <c r="Q14" s="216">
        <v>221445.08976743236</v>
      </c>
      <c r="R14" s="216">
        <v>530494.83043187088</v>
      </c>
      <c r="S14" s="216"/>
      <c r="T14" s="216"/>
      <c r="U14" s="216"/>
      <c r="V14" s="216">
        <v>846844.95867106004</v>
      </c>
      <c r="W14" s="216">
        <v>107607.71285182264</v>
      </c>
      <c r="X14" s="216"/>
      <c r="Y14" s="216"/>
      <c r="Z14" s="216"/>
      <c r="AA14" s="216"/>
      <c r="AB14" s="216"/>
      <c r="AC14" s="216">
        <v>218476.26548703379</v>
      </c>
      <c r="AD14" s="216"/>
      <c r="AE14" s="216"/>
      <c r="AF14" s="216"/>
      <c r="AG14" s="216"/>
      <c r="AH14" s="216"/>
      <c r="AI14" s="216"/>
      <c r="AJ14" s="216"/>
      <c r="AK14" s="216">
        <v>3083197.0190696353</v>
      </c>
    </row>
    <row r="15" spans="1:37" x14ac:dyDescent="0.55000000000000004">
      <c r="A15" s="77">
        <v>2030</v>
      </c>
      <c r="B15" s="216">
        <v>60789.12467762841</v>
      </c>
      <c r="C15" s="216">
        <v>0</v>
      </c>
      <c r="D15" s="216"/>
      <c r="E15" s="216"/>
      <c r="F15" s="216">
        <v>93716.56721134379</v>
      </c>
      <c r="G15" s="216"/>
      <c r="H15" s="216">
        <v>65854.885067430776</v>
      </c>
      <c r="I15" s="216">
        <v>481247.23703122488</v>
      </c>
      <c r="J15" s="216"/>
      <c r="K15" s="216"/>
      <c r="L15" s="216">
        <v>504043.1587853356</v>
      </c>
      <c r="M15" s="216"/>
      <c r="N15" s="216"/>
      <c r="O15" s="216"/>
      <c r="P15" s="216"/>
      <c r="Q15" s="216">
        <v>230492.09773600774</v>
      </c>
      <c r="R15" s="216">
        <v>552167.88248845807</v>
      </c>
      <c r="S15" s="216"/>
      <c r="T15" s="216"/>
      <c r="U15" s="216"/>
      <c r="V15" s="216">
        <v>881442.3078256119</v>
      </c>
      <c r="W15" s="216">
        <v>112003.96221853035</v>
      </c>
      <c r="X15" s="216"/>
      <c r="Y15" s="216"/>
      <c r="Z15" s="216"/>
      <c r="AA15" s="216"/>
      <c r="AB15" s="216"/>
      <c r="AC15" s="216">
        <v>227401.98389822827</v>
      </c>
      <c r="AD15" s="216"/>
      <c r="AE15" s="216"/>
      <c r="AF15" s="216"/>
      <c r="AG15" s="216"/>
      <c r="AH15" s="216"/>
      <c r="AI15" s="216"/>
      <c r="AJ15" s="216"/>
      <c r="AK15" s="216">
        <v>3209159.2069397997</v>
      </c>
    </row>
    <row r="16" spans="1:37" x14ac:dyDescent="0.55000000000000004">
      <c r="A16" s="77">
        <v>2050</v>
      </c>
      <c r="B16" s="216">
        <v>63381.970906546776</v>
      </c>
      <c r="C16" s="216">
        <v>0</v>
      </c>
      <c r="D16" s="216"/>
      <c r="E16" s="216"/>
      <c r="F16" s="216">
        <v>97713.871814259604</v>
      </c>
      <c r="G16" s="216"/>
      <c r="H16" s="216">
        <v>68663.801815425672</v>
      </c>
      <c r="I16" s="216">
        <v>501773.93634349527</v>
      </c>
      <c r="J16" s="216"/>
      <c r="K16" s="216"/>
      <c r="L16" s="216">
        <v>525542.17543345026</v>
      </c>
      <c r="M16" s="216"/>
      <c r="N16" s="216"/>
      <c r="O16" s="216"/>
      <c r="P16" s="216"/>
      <c r="Q16" s="216">
        <v>240323.30635398987</v>
      </c>
      <c r="R16" s="216">
        <v>575719.56906779984</v>
      </c>
      <c r="S16" s="216"/>
      <c r="T16" s="216"/>
      <c r="U16" s="216"/>
      <c r="V16" s="216">
        <v>919038.57814492821</v>
      </c>
      <c r="W16" s="216">
        <v>116781.28139531243</v>
      </c>
      <c r="X16" s="216"/>
      <c r="Y16" s="216"/>
      <c r="Z16" s="216"/>
      <c r="AA16" s="216"/>
      <c r="AB16" s="216"/>
      <c r="AC16" s="216">
        <v>237101.38949957371</v>
      </c>
      <c r="AD16" s="216"/>
      <c r="AE16" s="216"/>
      <c r="AF16" s="216"/>
      <c r="AG16" s="216"/>
      <c r="AH16" s="216"/>
      <c r="AI16" s="216"/>
      <c r="AJ16" s="216"/>
      <c r="AK16" s="216">
        <v>3346039.8807747816</v>
      </c>
    </row>
    <row r="17" spans="1:37" x14ac:dyDescent="0.55000000000000004">
      <c r="A17" s="76" t="s">
        <v>120</v>
      </c>
      <c r="B17" s="216"/>
      <c r="C17" s="216"/>
      <c r="D17" s="216">
        <v>733771.78685234336</v>
      </c>
      <c r="E17" s="216"/>
      <c r="F17" s="216"/>
      <c r="G17" s="216"/>
      <c r="H17" s="216"/>
      <c r="I17" s="216"/>
      <c r="J17" s="216"/>
      <c r="K17" s="216"/>
      <c r="L17" s="216"/>
      <c r="M17" s="216">
        <v>5334773.3843098897</v>
      </c>
      <c r="N17" s="216">
        <v>1218349</v>
      </c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>
        <v>545463.19606495893</v>
      </c>
      <c r="AE17" s="216">
        <v>8800578.9441841338</v>
      </c>
      <c r="AF17" s="216"/>
      <c r="AG17" s="216">
        <v>738468.76448843314</v>
      </c>
      <c r="AH17" s="216"/>
      <c r="AI17" s="216"/>
      <c r="AJ17" s="216"/>
      <c r="AK17" s="216">
        <v>17371405.075899757</v>
      </c>
    </row>
    <row r="18" spans="1:37" x14ac:dyDescent="0.55000000000000004">
      <c r="A18" s="77">
        <v>2019</v>
      </c>
      <c r="B18" s="216"/>
      <c r="C18" s="216"/>
      <c r="D18" s="216">
        <v>0</v>
      </c>
      <c r="E18" s="216"/>
      <c r="F18" s="216"/>
      <c r="G18" s="216"/>
      <c r="H18" s="216"/>
      <c r="I18" s="216"/>
      <c r="J18" s="216"/>
      <c r="K18" s="216"/>
      <c r="L18" s="216"/>
      <c r="M18" s="216">
        <v>1895494.5192748301</v>
      </c>
      <c r="N18" s="216">
        <v>982731</v>
      </c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>
        <v>209867.13867694439</v>
      </c>
      <c r="AE18" s="216">
        <v>3010292.0648196544</v>
      </c>
      <c r="AF18" s="216"/>
      <c r="AG18" s="216">
        <v>112873.31802427149</v>
      </c>
      <c r="AH18" s="216"/>
      <c r="AI18" s="216"/>
      <c r="AJ18" s="216"/>
      <c r="AK18" s="216">
        <v>6211258.0407956997</v>
      </c>
    </row>
    <row r="19" spans="1:37" x14ac:dyDescent="0.55000000000000004">
      <c r="A19" s="77">
        <v>2030</v>
      </c>
      <c r="B19" s="216"/>
      <c r="C19" s="216"/>
      <c r="D19" s="216">
        <v>363994.97174274386</v>
      </c>
      <c r="E19" s="216"/>
      <c r="F19" s="216"/>
      <c r="G19" s="216"/>
      <c r="H19" s="216"/>
      <c r="I19" s="216"/>
      <c r="J19" s="216"/>
      <c r="K19" s="216"/>
      <c r="L19" s="216"/>
      <c r="M19" s="216">
        <v>2110603.0181052475</v>
      </c>
      <c r="N19" s="216">
        <v>232809.00000000006</v>
      </c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>
        <v>192072.11069021252</v>
      </c>
      <c r="AE19" s="216">
        <v>2864790.7596825948</v>
      </c>
      <c r="AF19" s="216"/>
      <c r="AG19" s="216">
        <v>206894.54206256595</v>
      </c>
      <c r="AH19" s="216"/>
      <c r="AI19" s="216"/>
      <c r="AJ19" s="216"/>
      <c r="AK19" s="216">
        <v>5971164.4022833649</v>
      </c>
    </row>
    <row r="20" spans="1:37" x14ac:dyDescent="0.55000000000000004">
      <c r="A20" s="77">
        <v>2050</v>
      </c>
      <c r="B20" s="216"/>
      <c r="C20" s="216"/>
      <c r="D20" s="216">
        <v>369776.8151095995</v>
      </c>
      <c r="E20" s="216"/>
      <c r="F20" s="216"/>
      <c r="G20" s="216"/>
      <c r="H20" s="216"/>
      <c r="I20" s="216"/>
      <c r="J20" s="216"/>
      <c r="K20" s="216"/>
      <c r="L20" s="216"/>
      <c r="M20" s="216">
        <v>1328675.8469298114</v>
      </c>
      <c r="N20" s="216">
        <v>2808.9999999999418</v>
      </c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>
        <v>143523.94669780202</v>
      </c>
      <c r="AE20" s="216">
        <v>2925496.1196818841</v>
      </c>
      <c r="AF20" s="216"/>
      <c r="AG20" s="216">
        <v>418700.9044015957</v>
      </c>
      <c r="AH20" s="216"/>
      <c r="AI20" s="216"/>
      <c r="AJ20" s="216"/>
      <c r="AK20" s="216">
        <v>5188982.6328206928</v>
      </c>
    </row>
    <row r="21" spans="1:37" x14ac:dyDescent="0.55000000000000004">
      <c r="A21" s="76" t="s">
        <v>164</v>
      </c>
      <c r="B21" s="216"/>
      <c r="C21" s="216"/>
      <c r="D21" s="216">
        <v>0</v>
      </c>
      <c r="E21" s="216"/>
      <c r="F21" s="216"/>
      <c r="G21" s="216"/>
      <c r="H21" s="216"/>
      <c r="I21" s="216"/>
      <c r="J21" s="216"/>
      <c r="K21" s="216"/>
      <c r="L21" s="216"/>
      <c r="M21" s="216">
        <v>0</v>
      </c>
      <c r="N21" s="216">
        <v>0</v>
      </c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>
        <v>0</v>
      </c>
      <c r="AE21" s="216"/>
      <c r="AF21" s="216"/>
      <c r="AG21" s="216">
        <v>104190.75509932752</v>
      </c>
      <c r="AH21" s="216"/>
      <c r="AI21" s="216"/>
      <c r="AJ21" s="216">
        <v>2457092.6309540803</v>
      </c>
      <c r="AK21" s="216">
        <v>2561283.3860534076</v>
      </c>
    </row>
    <row r="22" spans="1:37" x14ac:dyDescent="0.55000000000000004">
      <c r="A22" s="77">
        <v>2019</v>
      </c>
      <c r="B22" s="216"/>
      <c r="C22" s="216"/>
      <c r="D22" s="216">
        <v>0</v>
      </c>
      <c r="E22" s="216"/>
      <c r="F22" s="216"/>
      <c r="G22" s="216"/>
      <c r="H22" s="216"/>
      <c r="I22" s="216"/>
      <c r="J22" s="216"/>
      <c r="K22" s="216"/>
      <c r="L22" s="216"/>
      <c r="M22" s="216">
        <v>0</v>
      </c>
      <c r="N22" s="216">
        <v>0</v>
      </c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>
        <v>0</v>
      </c>
      <c r="AE22" s="216"/>
      <c r="AF22" s="216"/>
      <c r="AG22" s="216">
        <v>104190.75509932752</v>
      </c>
      <c r="AH22" s="216"/>
      <c r="AI22" s="216"/>
      <c r="AJ22" s="216">
        <v>827707.93518034508</v>
      </c>
      <c r="AK22" s="216">
        <v>931898.69027967262</v>
      </c>
    </row>
    <row r="23" spans="1:37" x14ac:dyDescent="0.55000000000000004">
      <c r="A23" s="77">
        <v>2030</v>
      </c>
      <c r="B23" s="216"/>
      <c r="C23" s="216"/>
      <c r="D23" s="216">
        <v>0</v>
      </c>
      <c r="E23" s="216"/>
      <c r="F23" s="216"/>
      <c r="G23" s="216"/>
      <c r="H23" s="216"/>
      <c r="I23" s="216"/>
      <c r="J23" s="216"/>
      <c r="K23" s="216"/>
      <c r="L23" s="216"/>
      <c r="M23" s="216">
        <v>0</v>
      </c>
      <c r="N23" s="216">
        <v>0</v>
      </c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>
        <v>0</v>
      </c>
      <c r="AE23" s="216"/>
      <c r="AF23" s="216"/>
      <c r="AG23" s="216">
        <v>0</v>
      </c>
      <c r="AH23" s="216"/>
      <c r="AI23" s="216"/>
      <c r="AJ23" s="216">
        <v>788679.64758670493</v>
      </c>
      <c r="AK23" s="216">
        <v>788679.64758670493</v>
      </c>
    </row>
    <row r="24" spans="1:37" x14ac:dyDescent="0.55000000000000004">
      <c r="A24" s="77">
        <v>2050</v>
      </c>
      <c r="B24" s="216"/>
      <c r="C24" s="216"/>
      <c r="D24" s="216">
        <v>0</v>
      </c>
      <c r="E24" s="216"/>
      <c r="F24" s="216"/>
      <c r="G24" s="216"/>
      <c r="H24" s="216"/>
      <c r="I24" s="216"/>
      <c r="J24" s="216"/>
      <c r="K24" s="216"/>
      <c r="L24" s="216"/>
      <c r="M24" s="216">
        <v>0</v>
      </c>
      <c r="N24" s="216">
        <v>0</v>
      </c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>
        <v>0</v>
      </c>
      <c r="AE24" s="216"/>
      <c r="AF24" s="216"/>
      <c r="AG24" s="216">
        <v>0</v>
      </c>
      <c r="AH24" s="216"/>
      <c r="AI24" s="216"/>
      <c r="AJ24" s="216">
        <v>840705.04818703001</v>
      </c>
      <c r="AK24" s="216">
        <v>840705.04818703001</v>
      </c>
    </row>
    <row r="25" spans="1:37" x14ac:dyDescent="0.55000000000000004">
      <c r="A25" s="76" t="s">
        <v>114</v>
      </c>
      <c r="B25" s="216"/>
      <c r="C25" s="216"/>
      <c r="D25" s="216"/>
      <c r="E25" s="216">
        <v>1106664.4342319525</v>
      </c>
      <c r="F25" s="216"/>
      <c r="G25" s="216">
        <v>7241.2541197160099</v>
      </c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>
        <v>11830547.379417825</v>
      </c>
      <c r="T25" s="216"/>
      <c r="U25" s="216"/>
      <c r="V25" s="216"/>
      <c r="W25" s="216"/>
      <c r="X25" s="216"/>
      <c r="Y25" s="216"/>
      <c r="Z25" s="216"/>
      <c r="AA25" s="216"/>
      <c r="AB25" s="216">
        <v>16647244.36700053</v>
      </c>
      <c r="AC25" s="216"/>
      <c r="AD25" s="216"/>
      <c r="AE25" s="216"/>
      <c r="AF25" s="216"/>
      <c r="AG25" s="216"/>
      <c r="AH25" s="216">
        <v>22450133.785415035</v>
      </c>
      <c r="AI25" s="216">
        <v>7034776.8132165838</v>
      </c>
      <c r="AJ25" s="216"/>
      <c r="AK25" s="216">
        <v>59076608.033401646</v>
      </c>
    </row>
    <row r="26" spans="1:37" x14ac:dyDescent="0.55000000000000004">
      <c r="A26" s="77">
        <v>2019</v>
      </c>
      <c r="B26" s="216"/>
      <c r="C26" s="216"/>
      <c r="D26" s="216"/>
      <c r="E26" s="216">
        <v>823764.99285714305</v>
      </c>
      <c r="F26" s="216"/>
      <c r="G26" s="216">
        <v>4441.5</v>
      </c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>
        <v>9696490.333333334</v>
      </c>
      <c r="T26" s="216"/>
      <c r="U26" s="216"/>
      <c r="V26" s="216"/>
      <c r="W26" s="216"/>
      <c r="X26" s="216"/>
      <c r="Y26" s="216"/>
      <c r="Z26" s="216"/>
      <c r="AA26" s="216"/>
      <c r="AB26" s="216">
        <v>14742130.666666664</v>
      </c>
      <c r="AC26" s="216"/>
      <c r="AD26" s="216"/>
      <c r="AE26" s="216"/>
      <c r="AF26" s="216"/>
      <c r="AG26" s="216"/>
      <c r="AH26" s="216">
        <v>8803491.7355084848</v>
      </c>
      <c r="AI26" s="216">
        <v>944817.29105430027</v>
      </c>
      <c r="AJ26" s="216"/>
      <c r="AK26" s="216">
        <v>35015136.519419931</v>
      </c>
    </row>
    <row r="27" spans="1:37" x14ac:dyDescent="0.55000000000000004">
      <c r="A27" s="77">
        <v>2030</v>
      </c>
      <c r="B27" s="216"/>
      <c r="C27" s="216"/>
      <c r="D27" s="216"/>
      <c r="E27" s="216">
        <v>265775.30786321807</v>
      </c>
      <c r="F27" s="216"/>
      <c r="G27" s="216">
        <v>2190.7574515154847</v>
      </c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>
        <v>2049994.9744814469</v>
      </c>
      <c r="T27" s="216"/>
      <c r="U27" s="216"/>
      <c r="V27" s="216"/>
      <c r="W27" s="216"/>
      <c r="X27" s="216"/>
      <c r="Y27" s="216"/>
      <c r="Z27" s="216"/>
      <c r="AA27" s="216"/>
      <c r="AB27" s="216">
        <v>1905113.7003338654</v>
      </c>
      <c r="AC27" s="216"/>
      <c r="AD27" s="216"/>
      <c r="AE27" s="216"/>
      <c r="AF27" s="216"/>
      <c r="AG27" s="216"/>
      <c r="AH27" s="216">
        <v>12803468.568539068</v>
      </c>
      <c r="AI27" s="216">
        <v>1985633.2267312168</v>
      </c>
      <c r="AJ27" s="216"/>
      <c r="AK27" s="216">
        <v>19012176.535400331</v>
      </c>
    </row>
    <row r="28" spans="1:37" x14ac:dyDescent="0.55000000000000004">
      <c r="A28" s="77">
        <v>2050</v>
      </c>
      <c r="B28" s="216"/>
      <c r="C28" s="216"/>
      <c r="D28" s="216"/>
      <c r="E28" s="216">
        <v>17124.13351159139</v>
      </c>
      <c r="F28" s="216"/>
      <c r="G28" s="216">
        <v>608.99666820052505</v>
      </c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>
        <v>84062.071603045246</v>
      </c>
      <c r="T28" s="216"/>
      <c r="U28" s="216"/>
      <c r="V28" s="216"/>
      <c r="W28" s="216"/>
      <c r="X28" s="216"/>
      <c r="Y28" s="216"/>
      <c r="Z28" s="216"/>
      <c r="AA28" s="216"/>
      <c r="AB28" s="216">
        <v>0</v>
      </c>
      <c r="AC28" s="216"/>
      <c r="AD28" s="216"/>
      <c r="AE28" s="216"/>
      <c r="AF28" s="216"/>
      <c r="AG28" s="216"/>
      <c r="AH28" s="216">
        <v>843173.48136747919</v>
      </c>
      <c r="AI28" s="216">
        <v>4104326.2954310672</v>
      </c>
      <c r="AJ28" s="216"/>
      <c r="AK28" s="216">
        <v>5049294.9785813838</v>
      </c>
    </row>
    <row r="29" spans="1:37" x14ac:dyDescent="0.55000000000000004">
      <c r="A29" s="76" t="s">
        <v>237</v>
      </c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>
        <v>2633310.9987117522</v>
      </c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>
        <v>2633310.9987117522</v>
      </c>
    </row>
    <row r="30" spans="1:37" x14ac:dyDescent="0.55000000000000004">
      <c r="A30" s="77">
        <v>2019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>
        <v>678325.22851124685</v>
      </c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>
        <v>678325.22851124685</v>
      </c>
    </row>
    <row r="31" spans="1:37" x14ac:dyDescent="0.55000000000000004">
      <c r="A31" s="77">
        <v>2030</v>
      </c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>
        <v>646545.44394551869</v>
      </c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>
        <v>646545.44394551869</v>
      </c>
    </row>
    <row r="32" spans="1:37" x14ac:dyDescent="0.55000000000000004">
      <c r="A32" s="77">
        <v>2050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>
        <v>1308440.3262549867</v>
      </c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>
        <v>1308440.3262549867</v>
      </c>
    </row>
    <row r="33" spans="1:37" x14ac:dyDescent="0.55000000000000004">
      <c r="A33" s="76" t="s">
        <v>61</v>
      </c>
      <c r="B33" s="216">
        <v>182574.19618217932</v>
      </c>
      <c r="C33" s="216">
        <v>127499.95966883012</v>
      </c>
      <c r="D33" s="216">
        <v>1462905.7868523435</v>
      </c>
      <c r="E33" s="216">
        <v>4376997.4253103817</v>
      </c>
      <c r="F33" s="216">
        <v>281468.55244752642</v>
      </c>
      <c r="G33" s="216">
        <v>23735.996488067191</v>
      </c>
      <c r="H33" s="216">
        <v>197788.71253069426</v>
      </c>
      <c r="I33" s="216">
        <v>1445379.0531089196</v>
      </c>
      <c r="J33" s="216">
        <v>428226</v>
      </c>
      <c r="K33" s="216">
        <v>24277023.514387332</v>
      </c>
      <c r="L33" s="216">
        <v>1513844.376677237</v>
      </c>
      <c r="M33" s="216">
        <v>6938936.0675626714</v>
      </c>
      <c r="N33" s="216">
        <v>2948427</v>
      </c>
      <c r="O33" s="216">
        <v>9544788.6474304795</v>
      </c>
      <c r="P33" s="216">
        <v>995654</v>
      </c>
      <c r="Q33" s="216">
        <v>692260.49385742994</v>
      </c>
      <c r="R33" s="216">
        <v>13284143.772356629</v>
      </c>
      <c r="S33" s="216">
        <v>23090600.613956243</v>
      </c>
      <c r="T33" s="216">
        <v>2996249.0522175082</v>
      </c>
      <c r="U33" s="216">
        <v>11512834.962620307</v>
      </c>
      <c r="V33" s="216">
        <v>2647325.8446415998</v>
      </c>
      <c r="W33" s="216">
        <v>336392.95646566537</v>
      </c>
      <c r="X33" s="216">
        <v>2633310.9987117522</v>
      </c>
      <c r="Y33" s="216">
        <v>1691456.9740143262</v>
      </c>
      <c r="Z33" s="216">
        <v>77916.642019840641</v>
      </c>
      <c r="AA33" s="216">
        <v>14869354.308250314</v>
      </c>
      <c r="AB33" s="216">
        <v>25277454.801335461</v>
      </c>
      <c r="AC33" s="216">
        <v>682979.63888483576</v>
      </c>
      <c r="AD33" s="216">
        <v>545463.19606495893</v>
      </c>
      <c r="AE33" s="216">
        <v>8800578.9441841338</v>
      </c>
      <c r="AF33" s="216">
        <v>423229.03278958891</v>
      </c>
      <c r="AG33" s="216">
        <v>842659.51958776067</v>
      </c>
      <c r="AH33" s="216">
        <v>22450133.785415035</v>
      </c>
      <c r="AI33" s="216">
        <v>7034776.8132165838</v>
      </c>
      <c r="AJ33" s="216">
        <v>2457092.6309540803</v>
      </c>
      <c r="AK33" s="216">
        <v>197091464.27019072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T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22.41796875" bestFit="1" customWidth="1"/>
    <col min="2" max="2" width="16.26171875" bestFit="1" customWidth="1"/>
    <col min="3" max="3" width="9" bestFit="1" customWidth="1"/>
    <col min="4" max="4" width="11.15625" bestFit="1" customWidth="1"/>
    <col min="5" max="5" width="10.83984375" bestFit="1" customWidth="1"/>
    <col min="6" max="6" width="13.15625" bestFit="1" customWidth="1"/>
    <col min="7" max="8" width="8.83984375" bestFit="1" customWidth="1"/>
    <col min="9" max="9" width="13.26171875" bestFit="1" customWidth="1"/>
    <col min="10" max="10" width="13.83984375" bestFit="1" customWidth="1"/>
    <col min="11" max="11" width="7.68359375" bestFit="1" customWidth="1"/>
    <col min="12" max="12" width="16" bestFit="1" customWidth="1"/>
    <col min="13" max="13" width="8.68359375" bestFit="1" customWidth="1"/>
    <col min="14" max="14" width="6.68359375" bestFit="1" customWidth="1"/>
    <col min="15" max="15" width="20.68359375" bestFit="1" customWidth="1"/>
    <col min="16" max="16" width="9.15625" bestFit="1" customWidth="1"/>
    <col min="17" max="17" width="8.41796875" bestFit="1" customWidth="1"/>
    <col min="18" max="18" width="7.68359375" bestFit="1" customWidth="1"/>
    <col min="19" max="19" width="14.578125" bestFit="1" customWidth="1"/>
    <col min="20" max="20" width="11.261718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20" x14ac:dyDescent="0.55000000000000004">
      <c r="A2" s="75" t="s">
        <v>278</v>
      </c>
      <c r="B2" s="76">
        <v>1</v>
      </c>
    </row>
    <row r="4" spans="1:20" x14ac:dyDescent="0.55000000000000004">
      <c r="A4" s="75" t="s">
        <v>305</v>
      </c>
      <c r="B4" s="75" t="s">
        <v>62</v>
      </c>
    </row>
    <row r="5" spans="1:20" x14ac:dyDescent="0.55000000000000004">
      <c r="A5" s="75" t="s">
        <v>60</v>
      </c>
      <c r="B5" t="s">
        <v>15</v>
      </c>
      <c r="C5" t="s">
        <v>102</v>
      </c>
      <c r="D5" t="s">
        <v>96</v>
      </c>
      <c r="E5" t="s">
        <v>6</v>
      </c>
      <c r="F5" t="s">
        <v>103</v>
      </c>
      <c r="G5" t="s">
        <v>12</v>
      </c>
      <c r="H5" t="s">
        <v>48</v>
      </c>
      <c r="I5" t="s">
        <v>115</v>
      </c>
      <c r="J5" t="s">
        <v>108</v>
      </c>
      <c r="K5" t="s">
        <v>53</v>
      </c>
      <c r="L5" t="s">
        <v>116</v>
      </c>
      <c r="M5" t="s">
        <v>14</v>
      </c>
      <c r="N5" t="s">
        <v>52</v>
      </c>
      <c r="O5" t="s">
        <v>107</v>
      </c>
      <c r="P5" t="s">
        <v>13</v>
      </c>
      <c r="Q5" t="s">
        <v>158</v>
      </c>
      <c r="R5" t="s">
        <v>54</v>
      </c>
      <c r="S5" t="s">
        <v>159</v>
      </c>
      <c r="T5" t="s">
        <v>61</v>
      </c>
    </row>
    <row r="6" spans="1:20" x14ac:dyDescent="0.55000000000000004">
      <c r="A6" s="76">
        <v>2019</v>
      </c>
      <c r="B6" s="74">
        <v>0</v>
      </c>
      <c r="C6" s="74">
        <v>370459.67448149773</v>
      </c>
      <c r="D6" s="74">
        <v>0</v>
      </c>
      <c r="E6" s="74">
        <v>203936.60569913458</v>
      </c>
      <c r="F6" s="74">
        <v>282332.03034110228</v>
      </c>
      <c r="G6" s="74">
        <v>0</v>
      </c>
      <c r="H6" s="74">
        <v>0</v>
      </c>
      <c r="I6" s="74">
        <v>944817.29105430027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142742</v>
      </c>
      <c r="R6" s="74">
        <v>420628.93071698514</v>
      </c>
      <c r="S6" s="74">
        <v>5421074.2654714445</v>
      </c>
      <c r="T6" s="74">
        <v>7785990.7977644643</v>
      </c>
    </row>
    <row r="7" spans="1:20" x14ac:dyDescent="0.55000000000000004">
      <c r="A7" s="76">
        <v>2030</v>
      </c>
      <c r="B7" s="74">
        <v>0</v>
      </c>
      <c r="C7" s="74">
        <v>0</v>
      </c>
      <c r="D7" s="74">
        <v>0</v>
      </c>
      <c r="E7" s="74">
        <v>0</v>
      </c>
      <c r="F7" s="74">
        <v>0</v>
      </c>
      <c r="G7" s="74">
        <v>0</v>
      </c>
      <c r="H7" s="74">
        <v>0</v>
      </c>
      <c r="I7" s="74">
        <v>1985633.2267312168</v>
      </c>
      <c r="J7" s="74">
        <v>121218.25849421723</v>
      </c>
      <c r="K7" s="74">
        <v>0</v>
      </c>
      <c r="L7" s="74">
        <v>0</v>
      </c>
      <c r="M7" s="74">
        <v>51843.324620132888</v>
      </c>
      <c r="N7" s="74">
        <v>0</v>
      </c>
      <c r="O7" s="74">
        <v>0</v>
      </c>
      <c r="P7" s="74">
        <v>0</v>
      </c>
      <c r="Q7" s="74">
        <v>142742</v>
      </c>
      <c r="R7" s="74">
        <v>441805.67568415956</v>
      </c>
      <c r="S7" s="74">
        <v>3661484.3693090063</v>
      </c>
      <c r="T7" s="74">
        <v>6404726.8548387326</v>
      </c>
    </row>
    <row r="8" spans="1:20" x14ac:dyDescent="0.55000000000000004">
      <c r="A8" s="76">
        <v>2050</v>
      </c>
      <c r="B8" s="74">
        <v>21164.342117856617</v>
      </c>
      <c r="C8" s="74">
        <v>0</v>
      </c>
      <c r="D8" s="74">
        <v>62158.462761111325</v>
      </c>
      <c r="E8" s="74">
        <v>0</v>
      </c>
      <c r="F8" s="74">
        <v>0</v>
      </c>
      <c r="G8" s="74">
        <v>233567.51949445403</v>
      </c>
      <c r="H8" s="74">
        <v>1117452.9738889411</v>
      </c>
      <c r="I8" s="74">
        <v>4104326.2954310672</v>
      </c>
      <c r="J8" s="74">
        <v>38234.096623569851</v>
      </c>
      <c r="K8" s="74">
        <v>516494.58495904895</v>
      </c>
      <c r="L8" s="74">
        <v>712841.35005861125</v>
      </c>
      <c r="M8" s="74">
        <v>112903.28792996558</v>
      </c>
      <c r="N8" s="74">
        <v>79045.945262496738</v>
      </c>
      <c r="O8" s="74">
        <v>172.32701619649208</v>
      </c>
      <c r="P8" s="74">
        <v>199508.1218701629</v>
      </c>
      <c r="Q8" s="74">
        <v>142742</v>
      </c>
      <c r="R8" s="74">
        <v>0</v>
      </c>
      <c r="S8" s="74">
        <v>462230.0126500281</v>
      </c>
      <c r="T8" s="74">
        <v>7802841.32006351</v>
      </c>
    </row>
    <row r="9" spans="1:20" x14ac:dyDescent="0.55000000000000004">
      <c r="A9" s="76" t="s">
        <v>61</v>
      </c>
      <c r="B9" s="74">
        <v>21164.342117856617</v>
      </c>
      <c r="C9" s="74">
        <v>370459.67448149773</v>
      </c>
      <c r="D9" s="74">
        <v>62158.462761111325</v>
      </c>
      <c r="E9" s="74">
        <v>203936.60569913458</v>
      </c>
      <c r="F9" s="74">
        <v>282332.03034110228</v>
      </c>
      <c r="G9" s="74">
        <v>233567.51949445403</v>
      </c>
      <c r="H9" s="74">
        <v>1117452.9738889411</v>
      </c>
      <c r="I9" s="74">
        <v>7034776.8132165838</v>
      </c>
      <c r="J9" s="74">
        <v>159452.35511778708</v>
      </c>
      <c r="K9" s="74">
        <v>516494.58495904895</v>
      </c>
      <c r="L9" s="74">
        <v>712841.35005861125</v>
      </c>
      <c r="M9" s="74">
        <v>164746.61255009845</v>
      </c>
      <c r="N9" s="74">
        <v>79045.945262496738</v>
      </c>
      <c r="O9" s="74">
        <v>172.32701619649208</v>
      </c>
      <c r="P9" s="74">
        <v>199508.1218701629</v>
      </c>
      <c r="Q9" s="74">
        <v>428226</v>
      </c>
      <c r="R9" s="74">
        <v>862434.60640114476</v>
      </c>
      <c r="S9" s="74">
        <v>9544788.6474304814</v>
      </c>
      <c r="T9" s="74">
        <v>21993558.972666707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C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6" bestFit="1" customWidth="1"/>
    <col min="2" max="2" width="16.26171875" bestFit="1" customWidth="1"/>
    <col min="3" max="3" width="9.83984375" bestFit="1" customWidth="1"/>
    <col min="4" max="4" width="11" bestFit="1" customWidth="1"/>
    <col min="5" max="5" width="11.578125" bestFit="1" customWidth="1"/>
    <col min="6" max="6" width="11.15625" bestFit="1" customWidth="1"/>
    <col min="7" max="7" width="9.83984375" bestFit="1" customWidth="1"/>
    <col min="8" max="8" width="11" bestFit="1" customWidth="1"/>
    <col min="9" max="9" width="10.83984375" bestFit="1" customWidth="1"/>
    <col min="10" max="10" width="13.15625" bestFit="1" customWidth="1"/>
    <col min="11" max="12" width="9.83984375" bestFit="1" customWidth="1"/>
    <col min="13" max="13" width="13.83984375" bestFit="1" customWidth="1"/>
    <col min="14" max="14" width="9.83984375" bestFit="1" customWidth="1"/>
    <col min="15" max="15" width="16" bestFit="1" customWidth="1"/>
    <col min="16" max="16" width="10" bestFit="1" customWidth="1"/>
    <col min="17" max="17" width="8.68359375" bestFit="1" customWidth="1"/>
    <col min="18" max="19" width="9.83984375" bestFit="1" customWidth="1"/>
    <col min="20" max="20" width="21" bestFit="1" customWidth="1"/>
    <col min="21" max="21" width="20.68359375" bestFit="1" customWidth="1"/>
    <col min="22" max="22" width="9.83984375" bestFit="1" customWidth="1"/>
    <col min="23" max="23" width="5.15625" bestFit="1" customWidth="1"/>
    <col min="24" max="24" width="16" bestFit="1" customWidth="1"/>
    <col min="25" max="27" width="9.83984375" bestFit="1" customWidth="1"/>
    <col min="28" max="28" width="9.26171875" bestFit="1" customWidth="1"/>
    <col min="29" max="29" width="12" bestFit="1" customWidth="1"/>
    <col min="30" max="31" width="11.26171875" bestFit="1" customWidth="1"/>
    <col min="32" max="32" width="10.15625" bestFit="1" customWidth="1"/>
    <col min="33" max="33" width="12.15625" bestFit="1" customWidth="1"/>
    <col min="34" max="34" width="8.839843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10.41796875" bestFit="1" customWidth="1"/>
    <col min="40" max="40" width="12.26171875" bestFit="1" customWidth="1"/>
    <col min="41" max="41" width="14.578125" bestFit="1" customWidth="1"/>
    <col min="42" max="43" width="9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2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29" x14ac:dyDescent="0.55000000000000004">
      <c r="A2" s="75" t="s">
        <v>300</v>
      </c>
      <c r="B2" s="76">
        <v>1</v>
      </c>
    </row>
    <row r="4" spans="1:29" x14ac:dyDescent="0.55000000000000004">
      <c r="A4" s="75" t="s">
        <v>252</v>
      </c>
      <c r="B4" s="75" t="s">
        <v>62</v>
      </c>
    </row>
    <row r="5" spans="1:29" x14ac:dyDescent="0.55000000000000004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6</v>
      </c>
      <c r="J5" t="s">
        <v>103</v>
      </c>
      <c r="K5" t="s">
        <v>12</v>
      </c>
      <c r="L5" t="s">
        <v>48</v>
      </c>
      <c r="M5" t="s">
        <v>108</v>
      </c>
      <c r="N5" t="s">
        <v>53</v>
      </c>
      <c r="O5" t="s">
        <v>116</v>
      </c>
      <c r="P5" t="s">
        <v>106</v>
      </c>
      <c r="Q5" t="s">
        <v>14</v>
      </c>
      <c r="R5" t="s">
        <v>117</v>
      </c>
      <c r="S5" t="s">
        <v>52</v>
      </c>
      <c r="T5" t="s">
        <v>121</v>
      </c>
      <c r="U5" t="s">
        <v>107</v>
      </c>
      <c r="V5" t="s">
        <v>13</v>
      </c>
      <c r="W5" t="s">
        <v>99</v>
      </c>
      <c r="X5" t="s">
        <v>140</v>
      </c>
      <c r="Y5" t="s">
        <v>54</v>
      </c>
      <c r="Z5" t="s">
        <v>56</v>
      </c>
      <c r="AA5" t="s">
        <v>55</v>
      </c>
      <c r="AB5" t="s">
        <v>238</v>
      </c>
      <c r="AC5" t="s">
        <v>61</v>
      </c>
    </row>
    <row r="6" spans="1:29" x14ac:dyDescent="0.55000000000000004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/>
      <c r="K6" s="94">
        <v>2041731.0676095125</v>
      </c>
      <c r="L6" s="94">
        <v>1976968.2090253732</v>
      </c>
      <c r="M6" s="94">
        <v>51892.132620096323</v>
      </c>
      <c r="N6" s="94">
        <v>1274488.0820395502</v>
      </c>
      <c r="O6" s="94">
        <v>2536783.2413289398</v>
      </c>
      <c r="P6" s="94">
        <v>880.09999999999991</v>
      </c>
      <c r="Q6" s="94">
        <v>8064.2063400965635</v>
      </c>
      <c r="R6" s="94">
        <v>5269000</v>
      </c>
      <c r="S6" s="94">
        <v>1637775.5474174484</v>
      </c>
      <c r="T6" s="94">
        <v>217010.36743552322</v>
      </c>
      <c r="U6" s="94">
        <v>105946.31157195524</v>
      </c>
      <c r="V6" s="94">
        <v>1382651.4311789067</v>
      </c>
      <c r="W6" s="94">
        <v>76.5</v>
      </c>
      <c r="X6" s="94">
        <v>4368323.901678659</v>
      </c>
      <c r="Y6" s="94"/>
      <c r="Z6" s="94">
        <v>912099.45136908058</v>
      </c>
      <c r="AA6" s="94">
        <v>2006067.2488276002</v>
      </c>
      <c r="AB6" s="94">
        <v>98784.738662362797</v>
      </c>
      <c r="AC6" s="94">
        <v>34594970.783268616</v>
      </c>
    </row>
    <row r="7" spans="1:29" x14ac:dyDescent="0.55000000000000004">
      <c r="A7" s="76">
        <v>2030</v>
      </c>
      <c r="B7" s="94">
        <v>88022.559939656814</v>
      </c>
      <c r="C7" s="94">
        <v>997537.40382014518</v>
      </c>
      <c r="D7" s="94">
        <v>5876128.6539074313</v>
      </c>
      <c r="E7" s="94">
        <v>436272.67517169751</v>
      </c>
      <c r="F7" s="94">
        <v>41032.931452540652</v>
      </c>
      <c r="G7" s="94">
        <v>1401586.7021664588</v>
      </c>
      <c r="H7" s="94">
        <v>7296587.5607431894</v>
      </c>
      <c r="I7" s="94">
        <v>1033865.5069852719</v>
      </c>
      <c r="J7" s="94">
        <v>591642.55905312812</v>
      </c>
      <c r="K7" s="94">
        <v>1933983.9629797461</v>
      </c>
      <c r="L7" s="94">
        <v>1698285.9277597938</v>
      </c>
      <c r="M7" s="94"/>
      <c r="N7" s="94">
        <v>1703831.2509753662</v>
      </c>
      <c r="O7" s="94">
        <v>1102402.5067304149</v>
      </c>
      <c r="P7" s="94">
        <v>880.09999999999991</v>
      </c>
      <c r="Q7" s="94"/>
      <c r="R7" s="94">
        <v>3089251.4514141078</v>
      </c>
      <c r="S7" s="94">
        <v>1787607.2617034707</v>
      </c>
      <c r="T7" s="94">
        <v>112106.64759676083</v>
      </c>
      <c r="U7" s="94">
        <v>47458.843865180679</v>
      </c>
      <c r="V7" s="94">
        <v>596705.34393487545</v>
      </c>
      <c r="W7" s="94">
        <v>382.5</v>
      </c>
      <c r="X7" s="94">
        <v>1816195.3896754137</v>
      </c>
      <c r="Y7" s="94"/>
      <c r="Z7" s="94">
        <v>871023.20428516739</v>
      </c>
      <c r="AA7" s="94">
        <v>1912360.1390352619</v>
      </c>
      <c r="AB7" s="94">
        <v>160917.47813883494</v>
      </c>
      <c r="AC7" s="94">
        <v>34596068.56133391</v>
      </c>
    </row>
    <row r="8" spans="1:29" x14ac:dyDescent="0.55000000000000004">
      <c r="A8" s="76">
        <v>2050</v>
      </c>
      <c r="B8" s="94"/>
      <c r="C8" s="94">
        <v>1913259.3368418217</v>
      </c>
      <c r="D8" s="94">
        <v>7470808.2181634232</v>
      </c>
      <c r="E8" s="94">
        <v>28109.42670770664</v>
      </c>
      <c r="F8" s="94"/>
      <c r="G8" s="94">
        <v>7956.3105810060788</v>
      </c>
      <c r="H8" s="94">
        <v>34880161.601057798</v>
      </c>
      <c r="I8" s="94">
        <v>4170005.4391380921</v>
      </c>
      <c r="J8" s="94">
        <v>382368.42148557794</v>
      </c>
      <c r="K8" s="94"/>
      <c r="L8" s="94"/>
      <c r="M8" s="94"/>
      <c r="N8" s="94"/>
      <c r="O8" s="94"/>
      <c r="P8" s="94">
        <v>880.09999999999991</v>
      </c>
      <c r="Q8" s="94"/>
      <c r="R8" s="94">
        <v>321091.18690605665</v>
      </c>
      <c r="S8" s="94"/>
      <c r="T8" s="94">
        <v>5859.9303124103544</v>
      </c>
      <c r="U8" s="94"/>
      <c r="V8" s="94"/>
      <c r="W8" s="94">
        <v>382.5</v>
      </c>
      <c r="X8" s="94">
        <v>750214.90435823007</v>
      </c>
      <c r="Y8" s="94">
        <v>1852933.4676486014</v>
      </c>
      <c r="Z8" s="94">
        <v>756682.92027104762</v>
      </c>
      <c r="AA8" s="94">
        <v>5375.3604753848949</v>
      </c>
      <c r="AB8" s="94">
        <v>633724.24976508948</v>
      </c>
      <c r="AC8" s="94">
        <v>53179813.373712249</v>
      </c>
    </row>
    <row r="9" spans="1:29" x14ac:dyDescent="0.55000000000000004">
      <c r="A9" s="76" t="s">
        <v>61</v>
      </c>
      <c r="B9" s="94">
        <v>264619.45934165269</v>
      </c>
      <c r="C9" s="94">
        <v>3123751.5051961532</v>
      </c>
      <c r="D9" s="94">
        <v>16577465.944312368</v>
      </c>
      <c r="E9" s="94">
        <v>1816600.1090222616</v>
      </c>
      <c r="F9" s="94">
        <v>179308.21148143979</v>
      </c>
      <c r="G9" s="94">
        <v>2917825.6819982277</v>
      </c>
      <c r="H9" s="94">
        <v>46264320.715364285</v>
      </c>
      <c r="I9" s="94">
        <v>5203870.9461233644</v>
      </c>
      <c r="J9" s="94">
        <v>974010.98053870606</v>
      </c>
      <c r="K9" s="94">
        <v>3975715.0305892583</v>
      </c>
      <c r="L9" s="94">
        <v>3675254.1367851673</v>
      </c>
      <c r="M9" s="94">
        <v>51892.132620096323</v>
      </c>
      <c r="N9" s="94">
        <v>2978319.3330149166</v>
      </c>
      <c r="O9" s="94">
        <v>3639185.7480593547</v>
      </c>
      <c r="P9" s="94">
        <v>2640.2999999999997</v>
      </c>
      <c r="Q9" s="94">
        <v>8064.2063400965635</v>
      </c>
      <c r="R9" s="94">
        <v>8679342.6383201648</v>
      </c>
      <c r="S9" s="94">
        <v>3425382.8091209191</v>
      </c>
      <c r="T9" s="94">
        <v>334976.94534469442</v>
      </c>
      <c r="U9" s="94">
        <v>153405.15543713592</v>
      </c>
      <c r="V9" s="94">
        <v>1979356.7751137821</v>
      </c>
      <c r="W9" s="94">
        <v>841.5</v>
      </c>
      <c r="X9" s="94">
        <v>6934734.1957123037</v>
      </c>
      <c r="Y9" s="94">
        <v>1852933.4676486014</v>
      </c>
      <c r="Z9" s="94">
        <v>2539805.5759252952</v>
      </c>
      <c r="AA9" s="94">
        <v>3923802.7483382472</v>
      </c>
      <c r="AB9" s="94">
        <v>893426.46656628721</v>
      </c>
      <c r="AC9" s="94">
        <v>122370852.71831477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4.4" x14ac:dyDescent="0.55000000000000004"/>
  <cols>
    <col min="1" max="1" width="45.578125" bestFit="1" customWidth="1"/>
    <col min="2" max="2" width="21.15625" bestFit="1" customWidth="1"/>
    <col min="3" max="3" width="8.41796875" bestFit="1" customWidth="1"/>
    <col min="4" max="4" width="13.26171875" bestFit="1" customWidth="1"/>
    <col min="5" max="5" width="11.83984375" bestFit="1" customWidth="1"/>
    <col min="6" max="6" width="12.68359375" bestFit="1" customWidth="1"/>
    <col min="7" max="7" width="14.41796875" bestFit="1" customWidth="1"/>
    <col min="8" max="8" width="17.68359375" bestFit="1" customWidth="1"/>
    <col min="9" max="9" width="8.578125" bestFit="1" customWidth="1"/>
    <col min="10" max="10" width="10.15625" bestFit="1" customWidth="1"/>
    <col min="11" max="11" width="11.2617187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5" t="s">
        <v>62</v>
      </c>
    </row>
    <row r="4" spans="1:11" x14ac:dyDescent="0.55000000000000004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55000000000000004">
      <c r="A5" s="76" t="s">
        <v>285</v>
      </c>
      <c r="B5" s="214"/>
      <c r="C5" s="214"/>
      <c r="D5" s="214"/>
      <c r="E5" s="214"/>
      <c r="F5" s="214"/>
      <c r="G5" s="214"/>
      <c r="H5" s="214"/>
      <c r="I5" s="214"/>
      <c r="J5" s="214"/>
      <c r="K5" s="214"/>
    </row>
    <row r="6" spans="1:11" x14ac:dyDescent="0.55000000000000004">
      <c r="A6" s="77">
        <v>2019</v>
      </c>
      <c r="B6" s="214">
        <v>17.543930524502301</v>
      </c>
      <c r="C6" s="214">
        <v>0</v>
      </c>
      <c r="D6" s="214">
        <v>0</v>
      </c>
      <c r="E6" s="214">
        <v>19.591464268115235</v>
      </c>
      <c r="F6" s="214">
        <v>0</v>
      </c>
      <c r="G6" s="214">
        <v>0</v>
      </c>
      <c r="H6" s="214">
        <v>0</v>
      </c>
      <c r="I6" s="214">
        <v>3.9505661308495017</v>
      </c>
      <c r="J6" s="214">
        <v>47.491430804576645</v>
      </c>
      <c r="K6" s="214">
        <v>88.577391728043679</v>
      </c>
    </row>
    <row r="7" spans="1:11" x14ac:dyDescent="0.55000000000000004">
      <c r="A7" s="77">
        <v>2030</v>
      </c>
      <c r="B7" s="214">
        <v>14.12423989447726</v>
      </c>
      <c r="C7" s="214">
        <v>0</v>
      </c>
      <c r="D7" s="214">
        <v>24.393200841877629</v>
      </c>
      <c r="E7" s="214">
        <v>27.63117559647575</v>
      </c>
      <c r="F7" s="214">
        <v>1.1331835E-3</v>
      </c>
      <c r="G7" s="214">
        <v>0.93973134231983635</v>
      </c>
      <c r="H7" s="214">
        <v>0</v>
      </c>
      <c r="I7" s="214">
        <v>7.2413089721898078</v>
      </c>
      <c r="J7" s="214">
        <v>45.055169098464063</v>
      </c>
      <c r="K7" s="214">
        <v>119.38595892930435</v>
      </c>
    </row>
    <row r="8" spans="1:11" x14ac:dyDescent="0.55000000000000004">
      <c r="A8" s="77">
        <v>2050</v>
      </c>
      <c r="B8" s="214">
        <v>8.6827009518271741</v>
      </c>
      <c r="C8" s="214">
        <v>0</v>
      </c>
      <c r="D8" s="214">
        <v>64.175137325746221</v>
      </c>
      <c r="E8" s="214">
        <v>13.732936241351867</v>
      </c>
      <c r="F8" s="214">
        <v>1.1331835E-3</v>
      </c>
      <c r="G8" s="214">
        <v>6.0547705128400089E-2</v>
      </c>
      <c r="H8" s="214">
        <v>0</v>
      </c>
      <c r="I8" s="214">
        <v>14.654531654055848</v>
      </c>
      <c r="J8" s="214">
        <v>45.041720198799787</v>
      </c>
      <c r="K8" s="214">
        <v>146.3487072604093</v>
      </c>
    </row>
    <row r="9" spans="1:11" x14ac:dyDescent="0.55000000000000004">
      <c r="A9" s="76" t="s">
        <v>243</v>
      </c>
      <c r="B9" s="214"/>
      <c r="C9" s="214"/>
      <c r="D9" s="214"/>
      <c r="E9" s="214"/>
      <c r="F9" s="214"/>
      <c r="G9" s="214"/>
      <c r="H9" s="214"/>
      <c r="I9" s="214"/>
      <c r="J9" s="214"/>
      <c r="K9" s="214"/>
    </row>
    <row r="10" spans="1:11" x14ac:dyDescent="0.55000000000000004">
      <c r="A10" s="77">
        <v>2019</v>
      </c>
      <c r="B10" s="214">
        <v>7.483154704207001</v>
      </c>
      <c r="C10" s="214">
        <v>2.1694819870080004</v>
      </c>
      <c r="D10" s="214">
        <v>1.420171986175</v>
      </c>
      <c r="E10" s="214">
        <v>0.45076703431999982</v>
      </c>
      <c r="F10" s="214">
        <v>0</v>
      </c>
      <c r="G10" s="214">
        <v>5.0922829580050024</v>
      </c>
      <c r="H10" s="214">
        <v>0</v>
      </c>
      <c r="I10" s="214">
        <v>0</v>
      </c>
      <c r="J10" s="214">
        <v>0</v>
      </c>
      <c r="K10" s="214">
        <v>16.615858669715003</v>
      </c>
    </row>
    <row r="11" spans="1:11" x14ac:dyDescent="0.55000000000000004">
      <c r="A11" s="77">
        <v>2030</v>
      </c>
      <c r="B11" s="214">
        <v>3.9924514842057848</v>
      </c>
      <c r="C11" s="214">
        <v>2.1694819870080004</v>
      </c>
      <c r="D11" s="214">
        <v>0</v>
      </c>
      <c r="E11" s="214">
        <v>0</v>
      </c>
      <c r="F11" s="214">
        <v>0</v>
      </c>
      <c r="G11" s="214">
        <v>10.114954755047025</v>
      </c>
      <c r="H11" s="214">
        <v>0</v>
      </c>
      <c r="I11" s="214">
        <v>0</v>
      </c>
      <c r="J11" s="214">
        <v>0</v>
      </c>
      <c r="K11" s="214">
        <v>16.276888226260809</v>
      </c>
    </row>
    <row r="12" spans="1:11" x14ac:dyDescent="0.55000000000000004">
      <c r="A12" s="77">
        <v>2050</v>
      </c>
      <c r="B12" s="214">
        <v>5.0333912548142052</v>
      </c>
      <c r="C12" s="214">
        <v>2.1694819870080004</v>
      </c>
      <c r="D12" s="214">
        <v>0</v>
      </c>
      <c r="E12" s="214">
        <v>0</v>
      </c>
      <c r="F12" s="214">
        <v>0</v>
      </c>
      <c r="G12" s="214">
        <v>1.2624378640218132</v>
      </c>
      <c r="H12" s="214">
        <v>0</v>
      </c>
      <c r="I12" s="214">
        <v>0</v>
      </c>
      <c r="J12" s="214">
        <v>0</v>
      </c>
      <c r="K12" s="214">
        <v>8.4653111058440178</v>
      </c>
    </row>
    <row r="13" spans="1:11" x14ac:dyDescent="0.55000000000000004">
      <c r="A13" s="76" t="s">
        <v>286</v>
      </c>
      <c r="B13" s="214">
        <v>40.350871370806736</v>
      </c>
      <c r="C13" s="214">
        <v>0</v>
      </c>
      <c r="D13" s="214">
        <v>88.56833816762385</v>
      </c>
      <c r="E13" s="214">
        <v>60.955576105942853</v>
      </c>
      <c r="F13" s="214">
        <v>2.266367E-3</v>
      </c>
      <c r="G13" s="214">
        <v>1.0002790474482364</v>
      </c>
      <c r="H13" s="214">
        <v>0</v>
      </c>
      <c r="I13" s="214">
        <v>25.84640675709516</v>
      </c>
      <c r="J13" s="214">
        <v>137.58832010184051</v>
      </c>
      <c r="K13" s="214">
        <v>354.31205791775733</v>
      </c>
    </row>
    <row r="14" spans="1:11" x14ac:dyDescent="0.55000000000000004">
      <c r="A14" s="76" t="s">
        <v>244</v>
      </c>
      <c r="B14" s="214">
        <v>16.508997443226992</v>
      </c>
      <c r="C14" s="214">
        <v>6.5084459610240017</v>
      </c>
      <c r="D14" s="214">
        <v>1.420171986175</v>
      </c>
      <c r="E14" s="214">
        <v>0.45076703431999982</v>
      </c>
      <c r="F14" s="214">
        <v>0</v>
      </c>
      <c r="G14" s="214">
        <v>16.46967557707384</v>
      </c>
      <c r="H14" s="214">
        <v>0</v>
      </c>
      <c r="I14" s="214">
        <v>0</v>
      </c>
      <c r="J14" s="214">
        <v>0</v>
      </c>
      <c r="K14" s="214">
        <v>41.358058001819828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32.83984375" bestFit="1" customWidth="1"/>
    <col min="2" max="2" width="21.15625" bestFit="1" customWidth="1"/>
    <col min="3" max="3" width="9" bestFit="1" customWidth="1"/>
    <col min="4" max="4" width="13.26171875" bestFit="1" customWidth="1"/>
    <col min="5" max="5" width="11.83984375" bestFit="1" customWidth="1"/>
    <col min="6" max="6" width="12.68359375" bestFit="1" customWidth="1"/>
    <col min="7" max="7" width="14.41796875" bestFit="1" customWidth="1"/>
    <col min="8" max="8" width="10.578125" bestFit="1" customWidth="1"/>
    <col min="9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5" t="s">
        <v>239</v>
      </c>
      <c r="B1" s="75" t="s">
        <v>62</v>
      </c>
    </row>
    <row r="2" spans="1:9" x14ac:dyDescent="0.55000000000000004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55000000000000004">
      <c r="A3" s="76">
        <v>2019</v>
      </c>
      <c r="B3" s="215">
        <v>1077304.94</v>
      </c>
      <c r="C3" s="215">
        <v>128467.8</v>
      </c>
      <c r="D3" s="215">
        <v>128726.35999999999</v>
      </c>
      <c r="E3" s="215">
        <v>1676887.9013836056</v>
      </c>
      <c r="F3" s="215">
        <v>0</v>
      </c>
      <c r="G3" s="215">
        <v>704016.11583333346</v>
      </c>
      <c r="H3" s="215">
        <v>1575935.1462763192</v>
      </c>
      <c r="I3" s="215">
        <v>5291338.2634932585</v>
      </c>
    </row>
    <row r="4" spans="1:9" x14ac:dyDescent="0.55000000000000004">
      <c r="A4" s="76">
        <v>2030</v>
      </c>
      <c r="B4" s="215">
        <v>1081138.0604123813</v>
      </c>
      <c r="C4" s="215">
        <v>128467.8</v>
      </c>
      <c r="D4" s="215">
        <v>2911715.3446413972</v>
      </c>
      <c r="E4" s="215">
        <v>2320481.2029949962</v>
      </c>
      <c r="F4" s="215">
        <v>189.39</v>
      </c>
      <c r="G4" s="215">
        <v>1516304.9496731197</v>
      </c>
      <c r="H4" s="215">
        <v>1496587.689162788</v>
      </c>
      <c r="I4" s="215">
        <v>9454884.4368846826</v>
      </c>
    </row>
    <row r="5" spans="1:9" x14ac:dyDescent="0.55000000000000004">
      <c r="A5" s="76">
        <v>2050</v>
      </c>
      <c r="B5" s="215">
        <v>1009103.8878695687</v>
      </c>
      <c r="C5" s="215">
        <v>128467.8</v>
      </c>
      <c r="D5" s="215">
        <v>9766445.2482961845</v>
      </c>
      <c r="E5" s="215">
        <v>1129374.4698903398</v>
      </c>
      <c r="F5" s="215">
        <v>189.39</v>
      </c>
      <c r="G5" s="215">
        <v>188407.19869176933</v>
      </c>
      <c r="H5" s="215">
        <v>1506464.0604055864</v>
      </c>
      <c r="I5" s="215">
        <v>13728452.055153448</v>
      </c>
    </row>
    <row r="6" spans="1:9" x14ac:dyDescent="0.55000000000000004">
      <c r="A6" s="76" t="s">
        <v>61</v>
      </c>
      <c r="B6" s="215">
        <v>3167546.8882819498</v>
      </c>
      <c r="C6" s="215">
        <v>385403.4</v>
      </c>
      <c r="D6" s="215">
        <v>12806886.952937581</v>
      </c>
      <c r="E6" s="215">
        <v>5126743.5742689408</v>
      </c>
      <c r="F6" s="215">
        <v>378.78</v>
      </c>
      <c r="G6" s="215">
        <v>2408728.2641982227</v>
      </c>
      <c r="H6" s="215">
        <v>4578986.8958446942</v>
      </c>
      <c r="I6" s="215">
        <v>28474674.755531389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3.15625" bestFit="1" customWidth="1"/>
    <col min="2" max="2" width="16.26171875" bestFit="1" customWidth="1"/>
    <col min="3" max="3" width="4.68359375" bestFit="1" customWidth="1"/>
    <col min="4" max="4" width="9.15625" bestFit="1" customWidth="1"/>
    <col min="5" max="5" width="10.15625" bestFit="1" customWidth="1"/>
    <col min="6" max="6" width="9.83984375" bestFit="1" customWidth="1"/>
    <col min="7" max="7" width="12.15625" bestFit="1" customWidth="1"/>
    <col min="8" max="8" width="14.578125" bestFit="1" customWidth="1"/>
    <col min="9" max="9" width="13.41796875" bestFit="1" customWidth="1"/>
    <col min="10" max="10" width="11.2617187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5" t="s">
        <v>198</v>
      </c>
      <c r="B1" s="75" t="s">
        <v>62</v>
      </c>
    </row>
    <row r="2" spans="1:10" x14ac:dyDescent="0.55000000000000004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55000000000000004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55000000000000004">
      <c r="A4" s="76">
        <v>2030</v>
      </c>
      <c r="B4" s="94">
        <v>9752909.8767487388</v>
      </c>
      <c r="C4" s="94">
        <v>-158.43719999999996</v>
      </c>
      <c r="D4" s="94">
        <v>3632152.2628168822</v>
      </c>
      <c r="E4" s="94">
        <v>8489319.4299691841</v>
      </c>
      <c r="F4" s="94">
        <v>-1506235.598111971</v>
      </c>
      <c r="G4" s="94">
        <v>-253714.21368796375</v>
      </c>
      <c r="H4" s="94">
        <v>0</v>
      </c>
      <c r="I4" s="94">
        <v>-608453.5670373945</v>
      </c>
      <c r="J4" s="94">
        <v>19505819.753497474</v>
      </c>
    </row>
    <row r="5" spans="1:10" x14ac:dyDescent="0.55000000000000004">
      <c r="A5" s="76">
        <v>2050</v>
      </c>
      <c r="B5" s="94">
        <v>633807.98066069442</v>
      </c>
      <c r="C5" s="94">
        <v>-158.43719999999996</v>
      </c>
      <c r="D5" s="94">
        <v>462032.60052467551</v>
      </c>
      <c r="E5" s="94">
        <v>5014267.8611244122</v>
      </c>
      <c r="F5" s="94">
        <v>-3453383.6897283746</v>
      </c>
      <c r="G5" s="94">
        <v>-22262.763056218977</v>
      </c>
      <c r="H5" s="94">
        <v>0</v>
      </c>
      <c r="I5" s="94">
        <v>-1366687.5910038012</v>
      </c>
      <c r="J5" s="94">
        <v>1267615.9613213874</v>
      </c>
    </row>
    <row r="6" spans="1:10" x14ac:dyDescent="0.55000000000000004">
      <c r="A6" s="76" t="s">
        <v>61</v>
      </c>
      <c r="B6" s="94">
        <v>24297097.876176253</v>
      </c>
      <c r="C6" s="94">
        <v>-475.31159999999988</v>
      </c>
      <c r="D6" s="94">
        <v>9613446.7640782744</v>
      </c>
      <c r="E6" s="94">
        <v>23228931.317542858</v>
      </c>
      <c r="F6" s="94">
        <v>-5522029.2878403459</v>
      </c>
      <c r="G6" s="94">
        <v>-441184.18763924245</v>
      </c>
      <c r="H6" s="94">
        <v>0</v>
      </c>
      <c r="I6" s="94">
        <v>-2581591.4183652941</v>
      </c>
      <c r="J6" s="94">
        <v>48594195.752352506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55000000000000004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55000000000000004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55000000000000004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55000000000000004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55000000000000004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55000000000000004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7581454.5843545282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55000000000000004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3333383.2697204407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55000000000000004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3924775.9491432607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55000000000000004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972375.23040678946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55000000000000004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1839084.3419425213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55000000000000004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55000000000000004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-1763766.4824510801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55000000000000004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-491740.36233297375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55000000000000004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-232499.11889965192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55000000000000004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441845.01579194487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425175.44850829884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3720487.3144801827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110711.6733009274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-2570873.911416363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55000000000000004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-1222711.8086435611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55000000000000004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-20785.457262761494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55000000000000004">
      <c r="A31" t="s">
        <v>23</v>
      </c>
      <c r="B31">
        <f t="shared" si="12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55000000000000004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55000000000000004">
      <c r="A33" t="s">
        <v>24</v>
      </c>
      <c r="B33">
        <f t="shared" si="22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55000000000000004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55000000000000004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55000000000000004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55000000000000004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55000000000000004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55000000000000004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55000000000000004">
      <c r="A40" t="s">
        <v>24</v>
      </c>
      <c r="B40">
        <f t="shared" si="22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55000000000000004">
      <c r="A41" t="s">
        <v>24</v>
      </c>
      <c r="B41">
        <f t="shared" si="22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55000000000000004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1397311.3079388686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55000000000000004">
      <c r="A43" t="s">
        <v>24</v>
      </c>
      <c r="B43">
        <f t="shared" si="32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298768.99309644138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55000000000000004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1190860.2978669172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55000000000000004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147682.60240479806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55000000000000004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55000000000000004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55000000000000004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-359567.40233777399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55000000000000004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-138422.3223713756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55000000000000004">
      <c r="A50" t="s">
        <v>24</v>
      </c>
      <c r="B50">
        <f t="shared" si="32"/>
        <v>2030</v>
      </c>
      <c r="C50" s="94">
        <f>SUMIFS('Resultater - Østdanmark'!I$3:I$496,'Resultater - Østdanmark'!$F$3:$F$496,'CO2-udledning'!$D$2,'Resultater - Østdanmark'!$A$3:$A$496,'CO2-udledning'!$G40)</f>
        <v>-21215.094788311842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55000000000000004">
      <c r="A51" t="s">
        <v>24</v>
      </c>
      <c r="B51">
        <f t="shared" si="32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55000000000000004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434248.32605000818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55000000000000004">
      <c r="A53" t="s">
        <v>24</v>
      </c>
      <c r="B53">
        <f t="shared" si="42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36857.152016376669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55000000000000004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1166254.1833775467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55000000000000004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16814.689965756032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55000000000000004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55000000000000004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55000000000000004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-517621.37809074466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55000000000000004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-266578.82140024804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55000000000000004">
      <c r="A60" t="s">
        <v>24</v>
      </c>
      <c r="B60">
        <f t="shared" si="42"/>
        <v>2050</v>
      </c>
      <c r="C60" s="94">
        <f>SUMIFS('Resultater - Østdanmark'!J$3:J$496,'Resultater - Østdanmark'!$F$3:$F$496,'CO2-udledning'!$D$2,'Resultater - Østdanmark'!$A$3:$A$496,'CO2-udledning'!$G40)</f>
        <v>-1477.3057934574824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55000000000000004">
      <c r="A61" t="s">
        <v>24</v>
      </c>
      <c r="B61">
        <f t="shared" si="42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7.68359375" bestFit="1" customWidth="1"/>
    <col min="2" max="2" width="16.26171875" bestFit="1" customWidth="1"/>
    <col min="3" max="4" width="9.15625" bestFit="1" customWidth="1"/>
    <col min="5" max="5" width="10.15625" bestFit="1" customWidth="1"/>
    <col min="6" max="6" width="10.83984375" bestFit="1" customWidth="1"/>
    <col min="7" max="7" width="9.578125" bestFit="1" customWidth="1"/>
    <col min="8" max="8" width="9.15625" bestFit="1" customWidth="1"/>
    <col min="9" max="10" width="10.15625" bestFit="1" customWidth="1"/>
    <col min="11" max="11" width="9.15625" bestFit="1" customWidth="1"/>
    <col min="12" max="12" width="12" bestFit="1" customWidth="1"/>
    <col min="13" max="14" width="9.15625" bestFit="1" customWidth="1"/>
    <col min="15" max="15" width="11.26171875" bestFit="1" customWidth="1"/>
  </cols>
  <sheetData>
    <row r="1" spans="1:15" x14ac:dyDescent="0.55000000000000004">
      <c r="A1" s="75" t="s">
        <v>64</v>
      </c>
      <c r="B1" t="s">
        <v>80</v>
      </c>
    </row>
    <row r="3" spans="1:15" x14ac:dyDescent="0.55000000000000004">
      <c r="A3" s="75" t="s">
        <v>126</v>
      </c>
      <c r="B3" s="75" t="s">
        <v>62</v>
      </c>
    </row>
    <row r="4" spans="1:15" x14ac:dyDescent="0.55000000000000004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55000000000000004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55000000000000004">
      <c r="A6" s="76">
        <v>2030</v>
      </c>
      <c r="B6" s="94">
        <v>1046447.7701634195</v>
      </c>
      <c r="C6" s="94">
        <v>1401586.7021664588</v>
      </c>
      <c r="D6" s="94">
        <v>39441.561347065355</v>
      </c>
      <c r="E6" s="94">
        <v>16576650.263735827</v>
      </c>
      <c r="F6" s="94">
        <v>1537908.6657706075</v>
      </c>
      <c r="G6" s="94">
        <v>871023.20428516739</v>
      </c>
      <c r="H6" s="94">
        <v>2164476.0607157536</v>
      </c>
      <c r="I6" s="94">
        <v>6708769.5645664344</v>
      </c>
      <c r="J6" s="94">
        <v>5993677.9656667151</v>
      </c>
      <c r="K6" s="94">
        <v>1912360.1390352619</v>
      </c>
      <c r="L6" s="94">
        <v>192072.11069021252</v>
      </c>
      <c r="M6" s="94">
        <v>646545.44394551869</v>
      </c>
      <c r="N6" s="94">
        <v>2425479.9560970063</v>
      </c>
      <c r="O6" s="94">
        <v>41516439.408185452</v>
      </c>
    </row>
    <row r="7" spans="1:15" x14ac:dyDescent="0.55000000000000004">
      <c r="A7" s="76">
        <v>2050</v>
      </c>
      <c r="B7" s="94">
        <v>1919433.8379384452</v>
      </c>
      <c r="C7" s="94">
        <v>7956.3105810060788</v>
      </c>
      <c r="D7" s="94">
        <v>2354707.4039920969</v>
      </c>
      <c r="E7" s="94">
        <v>36051687.427182481</v>
      </c>
      <c r="F7" s="94">
        <v>4695547.6145715425</v>
      </c>
      <c r="G7" s="94">
        <v>756682.92027104762</v>
      </c>
      <c r="H7" s="94">
        <v>6755.786859535805</v>
      </c>
      <c r="I7" s="94">
        <v>21089.521528048594</v>
      </c>
      <c r="J7" s="94">
        <v>25060.615390659139</v>
      </c>
      <c r="K7" s="94">
        <v>5375.3604753848949</v>
      </c>
      <c r="L7" s="94">
        <v>143523.94669780202</v>
      </c>
      <c r="M7" s="94">
        <v>1308440.3262549867</v>
      </c>
      <c r="N7" s="94">
        <v>1479.8398726380365</v>
      </c>
      <c r="O7" s="94">
        <v>47297740.91161567</v>
      </c>
    </row>
    <row r="8" spans="1:15" x14ac:dyDescent="0.55000000000000004">
      <c r="A8" s="76" t="s">
        <v>61</v>
      </c>
      <c r="B8" s="94">
        <v>3251251.4648649832</v>
      </c>
      <c r="C8" s="94">
        <v>2917825.6819982277</v>
      </c>
      <c r="D8" s="94">
        <v>2435877.9143563765</v>
      </c>
      <c r="E8" s="94">
        <v>70541344.229751617</v>
      </c>
      <c r="F8" s="94">
        <v>6513778.7171014659</v>
      </c>
      <c r="G8" s="94">
        <v>2539805.5759252952</v>
      </c>
      <c r="H8" s="94">
        <v>4434408.0049522342</v>
      </c>
      <c r="I8" s="94">
        <v>15841944.935252855</v>
      </c>
      <c r="J8" s="94">
        <v>13974659.710676175</v>
      </c>
      <c r="K8" s="94">
        <v>3923802.7483382472</v>
      </c>
      <c r="L8" s="94">
        <v>545463.19606495893</v>
      </c>
      <c r="M8" s="94">
        <v>2633310.9987117522</v>
      </c>
      <c r="N8" s="94">
        <v>5037793.8378727483</v>
      </c>
      <c r="O8" s="94">
        <v>134591267.01586694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1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1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1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1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1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1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1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1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1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1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1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1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1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1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5038698.73969601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1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784216.78686351166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1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484165.4025825432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1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12872123.997018624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1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1149540.3784806253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1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1643930.6570275463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1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1802883.006068158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1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4548596.0037612533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1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29445.223193082551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1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1438881.3046688165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1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1039739.035656676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1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656412.81474727136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1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147783.41921503172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1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17585.624267945121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1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1461503.2991938624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1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996229.71876806754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1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27470991.955365088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1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3574924.4318902972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1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6540.3387577996864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1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328.27548713856038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1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24354.977510479563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1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1792737.3458964743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1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4681.8686166152675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1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5541.8750535368863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1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576432.67952835571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1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109495.6819733945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1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1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1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1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1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1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1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1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1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1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1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1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1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1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1504812.2556117347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1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235536.73295306222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1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146132.60326580983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1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3352452.9516122066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1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348816.87089037144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1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467828.20812687901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1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560569.78346049855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1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1298515.6524572726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1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9019.2915882405541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1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426239.95851510024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1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329128.73487048305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1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193106.99813687094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1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40255.034034105825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1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3503.8972601034743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1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457930.53874458285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1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312210.60748691915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1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8580695.4718173929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1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1120623.182681245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1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215.4481017361189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1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1151.564385499476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1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705.63788017957472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1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561970.05809562234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1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693.49185876962724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1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2414.435527469192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1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180250.24074269188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1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34028.264724407527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2.68359375" bestFit="1" customWidth="1"/>
    <col min="2" max="2" width="16.68359375" bestFit="1" customWidth="1"/>
    <col min="3" max="3" width="13.83984375" bestFit="1" customWidth="1"/>
    <col min="4" max="4" width="12.2617187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119</v>
      </c>
      <c r="C5" t="s">
        <v>118</v>
      </c>
      <c r="D5" t="s">
        <v>61</v>
      </c>
    </row>
    <row r="6" spans="1:4" x14ac:dyDescent="0.55000000000000004">
      <c r="A6" s="76">
        <v>2019</v>
      </c>
      <c r="B6" s="215">
        <v>3010292.0648196544</v>
      </c>
      <c r="C6" s="215">
        <v>827707.93518034508</v>
      </c>
      <c r="D6" s="215">
        <v>3837999.9999999995</v>
      </c>
    </row>
    <row r="7" spans="1:4" x14ac:dyDescent="0.55000000000000004">
      <c r="A7" s="76">
        <v>2030</v>
      </c>
      <c r="B7" s="215">
        <v>2864790.7596825948</v>
      </c>
      <c r="C7" s="215">
        <v>788679.64758670493</v>
      </c>
      <c r="D7" s="215">
        <v>3653470.4072693</v>
      </c>
    </row>
    <row r="8" spans="1:4" x14ac:dyDescent="0.55000000000000004">
      <c r="A8" s="76">
        <v>2050</v>
      </c>
      <c r="B8" s="215">
        <v>2925496.1196818841</v>
      </c>
      <c r="C8" s="215">
        <v>840705.04818703001</v>
      </c>
      <c r="D8" s="215">
        <v>3766201.1678689141</v>
      </c>
    </row>
    <row r="9" spans="1:4" x14ac:dyDescent="0.55000000000000004">
      <c r="A9" s="76" t="s">
        <v>61</v>
      </c>
      <c r="B9" s="215">
        <v>8800578.9441841338</v>
      </c>
      <c r="C9" s="215">
        <v>2457092.6309540803</v>
      </c>
      <c r="D9" s="215">
        <v>11257671.575138213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2.68359375" bestFit="1" customWidth="1"/>
    <col min="2" max="2" width="16.68359375" bestFit="1" customWidth="1"/>
    <col min="3" max="3" width="5.83984375" bestFit="1" customWidth="1"/>
    <col min="4" max="4" width="11.578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106</v>
      </c>
      <c r="C5" t="s">
        <v>99</v>
      </c>
      <c r="D5" t="s">
        <v>61</v>
      </c>
    </row>
    <row r="6" spans="1:4" x14ac:dyDescent="0.55000000000000004">
      <c r="A6" s="76">
        <v>2019</v>
      </c>
      <c r="B6" s="215">
        <v>880.09999999999991</v>
      </c>
      <c r="C6" s="215">
        <v>76.5</v>
      </c>
      <c r="D6" s="215">
        <v>956.59999999999991</v>
      </c>
    </row>
    <row r="7" spans="1:4" x14ac:dyDescent="0.55000000000000004">
      <c r="A7" s="76">
        <v>2030</v>
      </c>
      <c r="B7" s="215">
        <v>880.09999999999991</v>
      </c>
      <c r="C7" s="215">
        <v>382.5</v>
      </c>
      <c r="D7" s="215">
        <v>1262.5999999999999</v>
      </c>
    </row>
    <row r="8" spans="1:4" x14ac:dyDescent="0.55000000000000004">
      <c r="A8" s="76">
        <v>2050</v>
      </c>
      <c r="B8" s="215">
        <v>880.09999999999991</v>
      </c>
      <c r="C8" s="215">
        <v>382.5</v>
      </c>
      <c r="D8" s="215">
        <v>1262.5999999999999</v>
      </c>
    </row>
    <row r="9" spans="1:4" x14ac:dyDescent="0.55000000000000004">
      <c r="A9" s="76" t="s">
        <v>61</v>
      </c>
      <c r="B9" s="215">
        <v>2640.2999999999997</v>
      </c>
      <c r="C9" s="215">
        <v>841.5</v>
      </c>
      <c r="D9" s="215">
        <v>3481.7999999999997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3.15625" bestFit="1" customWidth="1"/>
    <col min="2" max="2" width="16.26171875" bestFit="1" customWidth="1"/>
    <col min="3" max="3" width="25.15625" bestFit="1" customWidth="1"/>
    <col min="4" max="4" width="17.83984375" bestFit="1" customWidth="1"/>
    <col min="5" max="6" width="10.578125" bestFit="1" customWidth="1"/>
    <col min="7" max="7" width="11.578125" bestFit="1" customWidth="1"/>
  </cols>
  <sheetData>
    <row r="1" spans="1:7" x14ac:dyDescent="0.55000000000000004">
      <c r="A1" s="75" t="s">
        <v>64</v>
      </c>
      <c r="B1" t="s">
        <v>80</v>
      </c>
    </row>
    <row r="3" spans="1:7" x14ac:dyDescent="0.55000000000000004">
      <c r="A3" s="75" t="s">
        <v>79</v>
      </c>
      <c r="B3" s="75" t="s">
        <v>62</v>
      </c>
    </row>
    <row r="4" spans="1:7" x14ac:dyDescent="0.55000000000000004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55000000000000004">
      <c r="A5" s="76">
        <v>2019</v>
      </c>
      <c r="B5" s="215">
        <v>66640</v>
      </c>
      <c r="C5" s="215">
        <v>592120</v>
      </c>
      <c r="D5" s="215">
        <v>2578669.9999999995</v>
      </c>
      <c r="E5" s="215">
        <v>505590.00000000006</v>
      </c>
      <c r="F5" s="215">
        <v>562410</v>
      </c>
      <c r="G5" s="215">
        <v>4305430</v>
      </c>
    </row>
    <row r="6" spans="1:7" x14ac:dyDescent="0.55000000000000004">
      <c r="A6" s="76">
        <v>2030</v>
      </c>
      <c r="B6" s="215">
        <v>66640</v>
      </c>
      <c r="C6" s="215">
        <v>592120</v>
      </c>
      <c r="D6" s="215">
        <v>2469781.111111111</v>
      </c>
      <c r="E6" s="215">
        <v>549664.07407407404</v>
      </c>
      <c r="F6" s="215">
        <v>627224.81481481483</v>
      </c>
      <c r="G6" s="215">
        <v>4305430</v>
      </c>
    </row>
    <row r="7" spans="1:7" x14ac:dyDescent="0.55000000000000004">
      <c r="A7" s="76">
        <v>2050</v>
      </c>
      <c r="B7" s="215">
        <v>66640</v>
      </c>
      <c r="C7" s="215">
        <v>592120</v>
      </c>
      <c r="D7" s="215">
        <v>2158669.9999999995</v>
      </c>
      <c r="E7" s="215">
        <v>675590</v>
      </c>
      <c r="F7" s="215">
        <v>812410</v>
      </c>
      <c r="G7" s="215">
        <v>4305430</v>
      </c>
    </row>
    <row r="8" spans="1:7" x14ac:dyDescent="0.55000000000000004">
      <c r="A8" s="76" t="s">
        <v>61</v>
      </c>
      <c r="B8" s="215">
        <v>199920</v>
      </c>
      <c r="C8" s="215">
        <v>1776360</v>
      </c>
      <c r="D8" s="215">
        <v>7207121.1111111101</v>
      </c>
      <c r="E8" s="215">
        <v>1730844.0740740742</v>
      </c>
      <c r="F8" s="215">
        <v>2002044.8148148148</v>
      </c>
      <c r="G8" s="215">
        <v>12916290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3" bestFit="1" customWidth="1"/>
    <col min="2" max="2" width="16.26171875" bestFit="1" customWidth="1"/>
    <col min="3" max="3" width="9" bestFit="1" customWidth="1"/>
    <col min="4" max="4" width="10.578125" bestFit="1" customWidth="1"/>
    <col min="5" max="5" width="10.83984375" bestFit="1" customWidth="1"/>
    <col min="6" max="6" width="9.578125" bestFit="1" customWidth="1"/>
    <col min="7" max="7" width="9" bestFit="1" customWidth="1"/>
    <col min="8" max="8" width="10.578125" bestFit="1" customWidth="1"/>
    <col min="9" max="11" width="9" bestFit="1" customWidth="1"/>
    <col min="12" max="12" width="8" bestFit="1" customWidth="1"/>
    <col min="13" max="13" width="15.68359375" bestFit="1" customWidth="1"/>
    <col min="14" max="14" width="12" bestFit="1" customWidth="1"/>
    <col min="15" max="15" width="9" bestFit="1" customWidth="1"/>
    <col min="16" max="16" width="11.2617187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5" t="s">
        <v>63</v>
      </c>
      <c r="B1" t="s">
        <v>80</v>
      </c>
    </row>
    <row r="2" spans="1:16" x14ac:dyDescent="0.55000000000000004">
      <c r="A2" s="75" t="s">
        <v>64</v>
      </c>
      <c r="B2" t="s">
        <v>80</v>
      </c>
    </row>
    <row r="4" spans="1:16" x14ac:dyDescent="0.55000000000000004">
      <c r="A4" s="75" t="s">
        <v>87</v>
      </c>
      <c r="B4" s="75" t="s">
        <v>62</v>
      </c>
    </row>
    <row r="5" spans="1:16" x14ac:dyDescent="0.55000000000000004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55000000000000004">
      <c r="A6" s="76">
        <v>2019</v>
      </c>
      <c r="B6" s="215">
        <v>76936.491003913645</v>
      </c>
      <c r="C6" s="215">
        <v>5112.5796318426765</v>
      </c>
      <c r="D6" s="215">
        <v>288510.97448626079</v>
      </c>
      <c r="E6" s="215">
        <v>12737.861407364735</v>
      </c>
      <c r="F6" s="215">
        <v>18955.494408534123</v>
      </c>
      <c r="G6" s="215">
        <v>55123.467536910946</v>
      </c>
      <c r="H6" s="215">
        <v>1338020.0537015593</v>
      </c>
      <c r="I6" s="215">
        <v>180387.32565123856</v>
      </c>
      <c r="J6" s="215">
        <v>69972.60108508839</v>
      </c>
      <c r="K6" s="215">
        <v>161391.51776080468</v>
      </c>
      <c r="L6" s="215">
        <v>33713.005264576917</v>
      </c>
      <c r="M6" s="215">
        <v>221142.47330260737</v>
      </c>
      <c r="N6" s="215">
        <v>8583.1535453348897</v>
      </c>
      <c r="O6" s="215">
        <v>108083.00121396239</v>
      </c>
      <c r="P6" s="215">
        <v>2578669.9999999995</v>
      </c>
    </row>
    <row r="7" spans="1:16" x14ac:dyDescent="0.55000000000000004">
      <c r="A7" s="76">
        <v>2030</v>
      </c>
      <c r="B7" s="215">
        <v>287248.39592951711</v>
      </c>
      <c r="C7" s="215">
        <v>4891.4296197465119</v>
      </c>
      <c r="D7" s="215">
        <v>245707.92287855776</v>
      </c>
      <c r="E7" s="215">
        <v>70179.935803594577</v>
      </c>
      <c r="F7" s="215">
        <v>18329.447243404069</v>
      </c>
      <c r="G7" s="215">
        <v>53439.478453935844</v>
      </c>
      <c r="H7" s="215">
        <v>992405.37867281248</v>
      </c>
      <c r="I7" s="215">
        <v>136417.13303535167</v>
      </c>
      <c r="J7" s="215">
        <v>67538.772462970126</v>
      </c>
      <c r="K7" s="215">
        <v>155662.58963035964</v>
      </c>
      <c r="L7" s="215">
        <v>31643.793284765423</v>
      </c>
      <c r="M7" s="215">
        <v>295381.28969570249</v>
      </c>
      <c r="N7" s="215">
        <v>8013.7680697060587</v>
      </c>
      <c r="O7" s="215">
        <v>101970.2100146141</v>
      </c>
      <c r="P7" s="215">
        <v>2468829.5447950377</v>
      </c>
    </row>
    <row r="8" spans="1:16" x14ac:dyDescent="0.55000000000000004">
      <c r="A8" s="76">
        <v>2050</v>
      </c>
      <c r="B8" s="215">
        <v>537686.14771168726</v>
      </c>
      <c r="C8" s="215">
        <v>299917.46027799317</v>
      </c>
      <c r="D8" s="215">
        <v>754498.9869193387</v>
      </c>
      <c r="E8" s="215">
        <v>215005.07896238801</v>
      </c>
      <c r="F8" s="215">
        <v>16356.183104388647</v>
      </c>
      <c r="G8" s="215">
        <v>143.34379382222059</v>
      </c>
      <c r="H8" s="215">
        <v>2660.7331259514922</v>
      </c>
      <c r="I8" s="215">
        <v>483.5810118234416</v>
      </c>
      <c r="J8" s="215">
        <v>162.57166940822827</v>
      </c>
      <c r="K8" s="215">
        <v>322742.34067986236</v>
      </c>
      <c r="L8" s="215">
        <v>16.412163123889165</v>
      </c>
      <c r="M8" s="215">
        <v>2147.2082115244143</v>
      </c>
      <c r="N8" s="215">
        <v>6348.1779255936181</v>
      </c>
      <c r="O8" s="215">
        <v>501.7744430942368</v>
      </c>
      <c r="P8" s="215">
        <v>2158670</v>
      </c>
    </row>
    <row r="9" spans="1:16" x14ac:dyDescent="0.55000000000000004">
      <c r="A9" s="76" t="s">
        <v>61</v>
      </c>
      <c r="B9" s="215">
        <v>901871.03464511805</v>
      </c>
      <c r="C9" s="215">
        <v>309921.46952958236</v>
      </c>
      <c r="D9" s="215">
        <v>1288717.8842841573</v>
      </c>
      <c r="E9" s="215">
        <v>297922.87617334735</v>
      </c>
      <c r="F9" s="215">
        <v>53641.124756326841</v>
      </c>
      <c r="G9" s="215">
        <v>108706.289784669</v>
      </c>
      <c r="H9" s="215">
        <v>2333086.1655003233</v>
      </c>
      <c r="I9" s="215">
        <v>317288.03969841363</v>
      </c>
      <c r="J9" s="215">
        <v>137673.94521746674</v>
      </c>
      <c r="K9" s="215">
        <v>639796.44807102671</v>
      </c>
      <c r="L9" s="215">
        <v>65373.210712466229</v>
      </c>
      <c r="M9" s="215">
        <v>518670.97120983427</v>
      </c>
      <c r="N9" s="215">
        <v>22945.099540634568</v>
      </c>
      <c r="O9" s="215">
        <v>210554.98567167073</v>
      </c>
      <c r="P9" s="215">
        <v>7206169.5447950372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1745357.6205952798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66595.901673525368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74044.098326474632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7582.4059259259229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133057.59407407406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529578.37940472004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10114.39462277092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11245.605377229082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1151.5940740740734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20208.405925925927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4451192.319631801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519487.36510723934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9267841.2008731291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2734998.260478348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428286.51876372844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618821.95724757656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4337941.9203055119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1488179.2415714019</v>
      </c>
      <c r="J16" s="74">
        <f t="shared" si="2"/>
        <v>1488179.2415714019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7477118.4636429986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184137.26532732765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710769.84416348487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221785.31277008392</v>
      </c>
      <c r="J17" s="74">
        <f t="shared" si="2"/>
        <v>221785.31277008392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720277.08940132696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98603.526236202568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433855.51543929131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243554.66482061322</v>
      </c>
      <c r="J18" s="74">
        <f t="shared" si="2"/>
        <v>243554.66482061322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139246.39999999999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135838.96622507778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6740329.504088359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6740329.504088359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8509733.5999999996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45279.655408359264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939552.8497234548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939552.8497234548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33050.048755893535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1403665.2982198803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1403665.2982198803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20325.905102401954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1651555.6324996452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1651555.6324996452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84522.023428937289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3762075.2628219994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3762075.2628219994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1409264.2692300314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3064.212196895046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26015.161551638943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26015.161551638943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49361.692337422792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42213.724990980285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1257797.7651013611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1257797.7651013611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1110078.7475035731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60969.519838660199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871184.97954780259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152118.34293669712</v>
      </c>
      <c r="J26" s="74">
        <f t="shared" si="2"/>
        <v>152118.34293669712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11451.126708189486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572556.33540947433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572556.33540947433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4403.4607968214023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107401.4828493025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107401.4828493025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166025.40316398395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2289490.3096313388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2289490.3096313388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Korn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0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0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0</v>
      </c>
      <c r="J30" s="74">
        <f t="shared" si="2"/>
        <v>0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337598.06480333197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1303128.5301408616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442315.41413725627</v>
      </c>
      <c r="J31" s="74">
        <f t="shared" si="2"/>
        <v>442315.41413725627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202558.83888199917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891258.89108079637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544247.24183848815</v>
      </c>
      <c r="J32" s="74">
        <f t="shared" si="2"/>
        <v>544247.24183848815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147284.73076996871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472637.29072466469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23452262.365757864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23452262.365757864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49606.307662577208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135039.22592133281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2802063.9378676559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2802063.9378676559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675468.25249642704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0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0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0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0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0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0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0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0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0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188373.71840347553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1599292.8692455075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1599292.8692455075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Frø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4">
        <f t="shared" si="2"/>
        <v>0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10245.338260561472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512266.91302807361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512266.91302807361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3939.7822179621876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96092.249218589946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96092.249218589946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0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96774.66719648811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454521.57942174573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155928.68502353097</v>
      </c>
      <c r="J58" s="74">
        <f t="shared" si="2"/>
        <v>155928.68502353097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28796.36438529646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63357.760920529268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19769.860718710675</v>
      </c>
      <c r="J59" s="74">
        <f t="shared" si="2"/>
        <v>19769.860718710675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15420.143587586084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37316.747481958322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20948.605242372643</v>
      </c>
      <c r="J60" s="74">
        <f t="shared" si="2"/>
        <v>20948.605242372643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21243.219628497391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822189.07521351159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822189.07521351159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7081.0732094991299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83751.393385350966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83751.393385350966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5168.5423112736971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125122.20532052148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125122.20532052148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3178.6730879773609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147219.05799762369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147219.05799762369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13218.003324398376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488316.66221424652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488316.66221424652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479.19779203196509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2318.9818749802885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2318.9818749802885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6601.6067130142046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112119.62739001377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112119.62739001377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9534.7376129955956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77657.106734328627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13559.772804870889</v>
      </c>
      <c r="J68" s="74">
        <f t="shared" si="2"/>
        <v>13559.772804870889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1790.7880663104795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51037.459889848666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51037.459889848666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688.636607240947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9573.7284421302375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9573.7284421302375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25963.935101496812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358042.6650496411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358042.6650496411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Korn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0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0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0</v>
      </c>
      <c r="J72" s="74">
        <f t="shared" ref="J72:J139" si="15">IF(I72&lt;&gt;0,I72,H72)</f>
        <v>0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71611.710715858295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157560.08591703142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53479.9546184137</v>
      </c>
      <c r="J73" s="74">
        <f t="shared" si="15"/>
        <v>53479.9546184137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42967.026429514983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103980.20395942628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63495.511547823648</v>
      </c>
      <c r="J74" s="74">
        <f t="shared" si="15"/>
        <v>63495.511547823648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100256.39500220161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3880283.4096072102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3880283.4096072102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28644.684286343319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338795.00339672563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338795.00339672563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0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0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0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0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0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0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0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0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0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39958.061479525117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193369.0469178659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193369.0469178659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0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0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0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Frø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0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0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0</v>
      </c>
      <c r="J82" s="74">
        <f t="shared" si="15"/>
        <v>0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2173.2535704221305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61937.726757030716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61937.726757030716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835.7113795677368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11618.426496429513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11618.426496429513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0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16851.178700525419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141752.11522881981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48629.640324347674</v>
      </c>
      <c r="J100" s="74">
        <f t="shared" si="15"/>
        <v>48629.640324347674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1444.5538636691219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6691.1734965153728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2087.8826232000652</v>
      </c>
      <c r="J101" s="74">
        <f t="shared" si="15"/>
        <v>2087.8826232000652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1546.8037177185506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8167.1236295539466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4584.8006706344586</v>
      </c>
      <c r="J102" s="74">
        <f t="shared" si="15"/>
        <v>4584.8006706344586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14274.450695696209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849957.892224535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849957.892224535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66.762142822909354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1662.377356290443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1662.377356290443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1054.0011940040383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53717.254503304226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53717.254503304226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27.652057994053425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2696.199469605257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2696.199469605257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3569.4651454094223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190652.27234660808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190652.27234660808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60.808907260539151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619.52114717037284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619.52114717037284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1075.4603376621412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38453.226559531351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38453.226559531351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2654.553265707737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45516.650390828472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7947.7006560371638</v>
      </c>
      <c r="J110" s="74">
        <f t="shared" si="15"/>
        <v>7947.7006560371638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304.98975247773001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18299.385148663798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18299.385148663798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500.90563602022252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14660.65276156749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14660.65276156749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14158.130367806998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234288.74132647022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234288.74132647022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1830.4013535168494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15397.336185783737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5745.900931129846</v>
      </c>
      <c r="J114" s="74">
        <f t="shared" si="15"/>
        <v>5745.900931129846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156.90969719557435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726.80571740990047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246.69659550676531</v>
      </c>
      <c r="J115" s="74">
        <f t="shared" si="15"/>
        <v>246.69659550676531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168.0162360659466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887.12572642819816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541.72332484337903</v>
      </c>
      <c r="J116" s="74">
        <f t="shared" si="15"/>
        <v>541.72332484337903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1550.5131325500222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92323.753964558535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92323.753964558535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7.2518082419319594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180.57002522410579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180.57002522410579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114.48725613794682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5834.8520953606294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5834.8520953606294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3.0036097343305523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292.86539809603926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292.86539809603926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387.72087992188403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20708.947638387672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20708.947638387672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6.6051584956547265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67.293354753730355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67.293354753730355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116.81818184321391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4176.8495363153243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4176.8495363153243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288.34172237355216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4944.0896665779219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939.07132142618457</v>
      </c>
      <c r="J124" s="74">
        <f t="shared" si="15"/>
        <v>939.07132142618457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33.128463335719047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1987.7078001431428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1987.7078001431428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54.409152644440603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1592.4630042275298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1592.4630042275298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1537.8782368318195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25448.809063092951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25448.809063092951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2635.2769023667065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14852.526032814852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5095.3243111602642</v>
      </c>
      <c r="J142" s="74">
        <f t="shared" si="29"/>
        <v>5095.3243111602642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225.90701213281457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596.44872971354232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186.11308450560904</v>
      </c>
      <c r="J143" s="74">
        <f t="shared" si="29"/>
        <v>186.11308450560904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241.89738784691369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702.4700143074374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394.34752536900641</v>
      </c>
      <c r="J144" s="74">
        <f t="shared" si="29"/>
        <v>394.34752536900641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2232.3144796492898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103678.32803346511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103678.32803346511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10.440618787588701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148.18370245224639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148.18370245224639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164.83030955805884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4788.3361907863282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4788.3361907863282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4.3243758213994576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240.3382231140578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240.3382231140578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558.21193393475642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24746.629126718264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24746.629126718264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9.5096201642477052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55.223885833012702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55.223885833012702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168.18620451542492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3427.706387640942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3427.706387640942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415.13315071565842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4057.3373744625455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708.45509579232339</v>
      </c>
      <c r="J152" s="74">
        <f t="shared" si="29"/>
        <v>708.45509579232339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47.695918751252741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1631.2004212928437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1631.2004212928437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78.334286065593687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1306.8451626552703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1306.8451626552703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2214.1236884405648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36639.318796314466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36639.318796314466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388.26695377630136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2188.2880821613853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816.61440506057488</v>
      </c>
      <c r="J156" s="74">
        <f t="shared" si="29"/>
        <v>816.61440506057488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33.283875162697591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87.877418559560681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29.827861093090707</v>
      </c>
      <c r="J157" s="74">
        <f t="shared" si="29"/>
        <v>29.827861093090707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35.63980765035231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103.49800141662314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63.201054565060886</v>
      </c>
      <c r="J158" s="74">
        <f t="shared" si="29"/>
        <v>63.201054565060886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328.89672508636835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15275.384746863321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15275.384746863321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1.5382623543492036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21.832557595278246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21.832557595278246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24.285175544412962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705.48666243905791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705.48666243905791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0.63712933758526868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35.410089042521115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35.410089042521115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82.243823013732964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3646.0298720918895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3646.0298720918895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1.4010942263510027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8.136378347496489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8.136378347496489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24.77961433037871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505.01908029994365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505.01908029994365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61.163395654995902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597.78538695896668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113.54225977243867</v>
      </c>
      <c r="J166" s="74">
        <f t="shared" si="29"/>
        <v>113.54225977243867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7.0272497984858573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240.33194310821634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240.33194310821634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11.541335409426795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192.54325414751042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192.54325414751042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326.21659569159806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5398.2322255045656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5398.2322255045656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8266.7568307088786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81129.951536576918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27832.532561414399</v>
      </c>
      <c r="J184" s="74">
        <f t="shared" si="29"/>
        <v>27832.532561414399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475.99342925102297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2572.2684916725284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802.63868344842786</v>
      </c>
      <c r="J185" s="74">
        <f t="shared" si="29"/>
        <v>802.63868344842786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616.38993680991337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3796.9620107490664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2131.5110145096023</v>
      </c>
      <c r="J186" s="74">
        <f t="shared" si="29"/>
        <v>2131.5110145096023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14215.89771790568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987549.98266747175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987549.98266747175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16.523315723463227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480.00232176660677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480.00232176660677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874.58394661057821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52002.113625504528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52002.113625504528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9.4578056299713129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1075.8747968565574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1075.8747968565574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1176.1707180927949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73291.902127234425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73291.902127234425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33.705478633164141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400.62331903378896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400.62331903378896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596.11177153005485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24866.397736704123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24866.397736704123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1896.6283551983877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37940.921871912171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6624.896319541378</v>
      </c>
      <c r="J194" s="74">
        <f t="shared" si="29"/>
        <v>6624.896319541378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169.05131252281291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11833.591876596904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11833.591876596904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399.04965430443821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13626.085756736917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13626.085756736917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14758.95687153021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284936.42136176227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284936.42136176227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1292.799377456608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8500.6471705406311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2916.2415937164728</v>
      </c>
      <c r="J226" s="74">
        <f t="shared" si="42"/>
        <v>2916.2415937164728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74.438382743186438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229.29106159618232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71.546915262484092</v>
      </c>
      <c r="J227" s="74">
        <f t="shared" si="42"/>
        <v>71.546915262484092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96.394334912357877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326.58400668306854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183.33536270232733</v>
      </c>
      <c r="J228" s="74">
        <f t="shared" si="42"/>
        <v>183.33536270232733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2223.1576537275891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120461.88639353556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120461.88639353556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2.5840039471658796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42.78722935914621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42.78722935914621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136.7720866678431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4635.4491675495001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4635.4491675495001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1.479061920040055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95.903081313030611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95.903081313030611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183.93582916151516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9513.275124447644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9513.275124447644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5.2710419196030802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35.711414426149261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35.711414426149261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93.223127631604285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2216.5814935650428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2216.5814935650428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296.60482424723369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3382.0397373417254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590.54080668094912</v>
      </c>
      <c r="J236" s="74">
        <f t="shared" si="42"/>
        <v>590.54080668094912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26.437142892102489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1054.8420013948892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1054.8420013948892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62.405506200768976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1214.6242426393571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1214.6242426393571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2308.0841309550201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44559.872232217625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44559.872232217625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187763.65679570963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1316223.2341379244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451545.0253377487</v>
      </c>
      <c r="J268" s="74">
        <f t="shared" si="42"/>
        <v>451545.0253377487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55871.136900186779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215662.58843472099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67294.349952470497</v>
      </c>
      <c r="J269" s="74">
        <f t="shared" si="42"/>
        <v>67294.349952470497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29918.393234476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131640.93023169439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73899.631324936796</v>
      </c>
      <c r="J270" s="74">
        <f t="shared" si="42"/>
        <v>73899.631324936796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41216.4124673509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2045158.3866299519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2045158.3866299519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13738.804155783633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285080.18623251043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285080.18623251043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10028.083100484339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425901.7092464962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425901.7092464962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6167.3090700992734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501116.8742928424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501116.8742928424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25645.767757462785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1141493.1228846686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1141493.1228846686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929.74672367167705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7893.5496839725383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7893.5496839725383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12808.536087713192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381642.41769206786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381642.41769206786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18499.440531980632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264335.9298900048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46155.919325388335</v>
      </c>
      <c r="J278" s="74">
        <f t="shared" si="55"/>
        <v>46155.919325388335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3474.513791857044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173725.68959285223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173725.68959285223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1336.1030456082347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32587.879161176461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32587.879161176461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50375.615237873317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694679.73413027311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694679.73413027311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Korn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0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0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0</v>
      </c>
      <c r="J282" s="74">
        <f t="shared" si="55"/>
        <v>0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105826.23519666794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408489.26785913832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138651.78722179355</v>
      </c>
      <c r="J283" s="74">
        <f t="shared" si="55"/>
        <v>138651.78722179355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63495.741118000762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279381.26091920334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170604.16698031151</v>
      </c>
      <c r="J284" s="74">
        <f t="shared" si="55"/>
        <v>170604.16698031151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148156.72927533509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7351536.9066421278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7351536.9066421278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42330.49407866718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878357.75213234406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878357.75213234406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0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0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0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0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0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0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0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0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0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59049.1578802449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501327.3504032793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501327.3504032793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0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Frø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4">
        <f t="shared" si="55"/>
        <v>0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3211.5870600834623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160579.35300417314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160579.35300417314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1234.9961776724069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30121.857992009926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30121.857992009926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0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29363.478760225542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137911.4506931513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47312.057622498403</v>
      </c>
      <c r="J310" s="74">
        <f t="shared" si="55"/>
        <v>47312.057622498403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8737.4253871890633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19224.083336893378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5998.5934555354843</v>
      </c>
      <c r="J311" s="74">
        <f t="shared" si="55"/>
        <v>5998.5934555354843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4678.7973736389513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11322.689644206264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6356.2494494745315</v>
      </c>
      <c r="J312" s="74">
        <f t="shared" si="55"/>
        <v>6356.2494494745315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6445.6416790739004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249469.53729020461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249469.53729020461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2148.5472263579668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25411.94231974885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25411.94231974885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1568.244942349125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37964.720776586044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37964.720776586044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964.47657644759033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44669.372758850572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44669.372758850572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4010.6214892015382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148165.5928620192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148165.5928620192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145.3987349779097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703.62809817859841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703.62809817859841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2003.0669607716254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34019.463903571494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34019.463903571494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2893.0408493688915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23562.806984850853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4114.3215707566833</v>
      </c>
      <c r="J320" s="74">
        <f t="shared" si="55"/>
        <v>4114.3215707566833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543.36293652561767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15485.843690980104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15485.843690980104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208.94689670363573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2904.8714907578628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2904.8714907578628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7878.0064966458776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108637.70958874666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108637.70958874666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Korn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0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0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0</v>
      </c>
      <c r="J324" s="74">
        <f t="shared" si="55"/>
        <v>0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22447.989284141684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49390.066022968531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16764.261545907768</v>
      </c>
      <c r="J325" s="74">
        <f t="shared" si="55"/>
        <v>16764.261545907768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13468.79357048501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32594.480440573723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19903.819481036346</v>
      </c>
      <c r="J326" s="74">
        <f t="shared" si="55"/>
        <v>19903.819481036346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31427.184997798355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1216345.1972807886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1216345.1972807886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8979.1957136566725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106201.43730327429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106201.43730327429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0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0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0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0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0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0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0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0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0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12525.578944294373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60615.034185123761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60615.034185123761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0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0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0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Frø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0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0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0</v>
      </c>
      <c r="J334" s="74">
        <f t="shared" si="55"/>
        <v>0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681.24574001770407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19415.503590504566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19415.503590504566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261.96888617293479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3642.0064663066546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3642.0064663066546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0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3357.5605834995149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28243.799628397916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9689.3497152040363</v>
      </c>
      <c r="J352" s="74">
        <f t="shared" si="60"/>
        <v>9689.3497152040363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90.793805177184794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420.55690558071996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131.22861866996251</v>
      </c>
      <c r="J353" s="74">
        <f t="shared" si="60"/>
        <v>131.22861866996251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366.73036231407929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1936.3363130183386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1087.0064454975313</v>
      </c>
      <c r="J354" s="74">
        <f t="shared" si="60"/>
        <v>1087.0064454975313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1078.3409265177115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64208.732128570613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64208.732128570613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20.422609337589453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508.52297250597741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508.52297250597741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34.720305000251777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1769.5230999175938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1769.5230999175938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97.001227381554372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9458.0540035554968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9458.0540035554968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103.41827733151489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5523.7770288308739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5523.7770288308739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22.309448342014662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227.28865970844541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227.28865970844541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159.30028150544692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5695.8026262893663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5695.8026262893663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1156.5124894314743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19830.295113722077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3462.5845296493239</v>
      </c>
      <c r="J362" s="74">
        <f t="shared" si="60"/>
        <v>3462.5845296493239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34.958778596980039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2097.5267158188026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2097.5267158188026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74.1955849335599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2171.5780956163871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2171.5780956163871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2150.2962504007219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35583.102351631147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35583.102351631147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364.7034753931315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3067.8856350070218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1144.8582218437455</v>
      </c>
      <c r="J366" s="74">
        <f t="shared" si="60"/>
        <v>1144.8582218437455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9.8621649464842704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45.681548032115138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15.505494944594487</v>
      </c>
      <c r="J367" s="74">
        <f t="shared" si="60"/>
        <v>15.505494944594487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39.83482482056197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210.32787505256721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128.43671690085014</v>
      </c>
      <c r="J368" s="74">
        <f t="shared" si="60"/>
        <v>128.43671690085014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117.13107590444632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6974.4527836543512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6974.4527836543512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2.2183357282125327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55.23655963249206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55.23655963249206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3.7713737653851549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192.2083632682326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192.2083632682326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10.536424842878008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1027.3486002022901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1027.3486002022901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11.233454832455337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600.00128951110446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600.00128951110446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2.4232871282864399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24.68844926298225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24.68844926298225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17.303445418574402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618.6869786265936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618.6869786265936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125.62219317919325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2153.9976319676493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409.12635874599658</v>
      </c>
      <c r="J376" s="74">
        <f t="shared" si="60"/>
        <v>409.12635874599658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3.7972771399791134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227.83662839874683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227.83662839874683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8.0592403356999522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235.88020494731569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235.88020494731569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233.56853767582237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3865.0921614595086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3865.0921614595086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525.07317210500355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2959.3334009106838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1015.2322500007133</v>
      </c>
      <c r="J394" s="74">
        <f t="shared" si="60"/>
        <v>1015.2322500007133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14.198817893608684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37.488286955421387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11.697670513030937</v>
      </c>
      <c r="J395" s="74">
        <f t="shared" si="60"/>
        <v>11.697670513030937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57.351243517032643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166.54801117346281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93.495515429418262</v>
      </c>
      <c r="J396" s="74">
        <f t="shared" si="60"/>
        <v>93.495515429418262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168.63668631323898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7832.2162228716916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7832.2162228716916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3.1937962103345354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45.329549613278061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45.329549613278061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5.429745861483144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157.73463439473878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157.73463439473878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15.169567575226109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843.08743435222607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843.08743435222607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16.173099958034264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716.98522041557669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716.98522041557669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3.4888701238698125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20.260427028531822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20.260427028531822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24.912224827259667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507.72173863352538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507.72173863352538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180.86157086461591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1767.6651691342113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308.65350380028923</v>
      </c>
      <c r="J404" s="74">
        <f t="shared" si="60"/>
        <v>308.65350380028923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5.467039630212966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186.97275535328342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186.97275535328342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11.603099979403883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193.57366794907941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193.57366794907941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336.27475814199715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5564.6746977337698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5564.6746977337698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77.361343265209698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436.01162509645246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162.70863819536862</v>
      </c>
      <c r="J408" s="74">
        <f t="shared" si="64"/>
        <v>162.70863819536862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2.0919743825875723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5.5233144438830122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1.8747552978464239</v>
      </c>
      <c r="J409" s="74">
        <f t="shared" si="64"/>
        <v>1.8747552978464239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8.4498113255737515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24.53825208946618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14.984283638432522</v>
      </c>
      <c r="J410" s="74">
        <f t="shared" si="64"/>
        <v>14.984283638432522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24.845985797912856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1153.9549151137201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1153.9549151137201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0.47055606356023416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6.6786022101104026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6.6786022101104026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0.79998837447563886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23.239738467886301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23.239738467886301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2.234999209095335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124.21578529718597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124.21578529718597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2.3828540553693136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105.63659066847021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105.63659066847021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0.51403060296985081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2.9850579563423985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2.9850579563423985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3.6704278160612374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74.804880143033586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74.804880143033586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26.647131886495536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260.43789550154304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49.467096102925041</v>
      </c>
      <c r="J418" s="74">
        <f t="shared" si="64"/>
        <v>49.467096102925041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0.80548302969253915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27.547519615484841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27.547519615484841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1.7095358287848383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28.520061143629984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28.520061143629984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49.544841325174438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819.86803424898665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819.86803424898665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1796.1549250748035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17627.46443468412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6047.2978050816228</v>
      </c>
      <c r="J436" s="74">
        <f t="shared" si="64"/>
        <v>6047.2978050816228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32.624096434599416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176.30061713257524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55.012023699915716</v>
      </c>
      <c r="J437" s="74">
        <f t="shared" si="64"/>
        <v>55.012023699915716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159.36107732825297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981.66423634203829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551.0795542303614</v>
      </c>
      <c r="J438" s="74">
        <f t="shared" si="64"/>
        <v>551.0795542303614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1171.0785614452748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81352.485506480356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81352.485506480356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5.5117970826864369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160.11770525204099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160.11770525204099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31.416585856718971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1868.0069234954308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1868.0069234954308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36.178887809125172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4115.5374824780356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4115.5374824780356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37.160330995922486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2315.6088656799143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2315.6088656799143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13.484572661869436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160.27763065898012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160.27763065898012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96.286388981255755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4016.521329369848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4016.521329369848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901.06512085105521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18025.271665907891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3147.4078653479032</v>
      </c>
      <c r="J446" s="74">
        <f t="shared" si="64"/>
        <v>3147.4078653479032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21.130248625350497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1479.117403774535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1479.117403774535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64.456117245548413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2200.9405888723845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2200.9405888723845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2241.5480572801857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43275.326793851265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43275.326793851265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280.89225514973896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1846.9733166664905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633.62474650323929</v>
      </c>
      <c r="J478" s="74">
        <f t="shared" si="68"/>
        <v>633.62474650323929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5.1019296230003928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15.715371779135646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4.9037514379015512</v>
      </c>
      <c r="J479" s="74">
        <f t="shared" si="68"/>
        <v>4.9037514379015512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24.921732401207365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84.434829375290576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47.399412559875849</v>
      </c>
      <c r="J480" s="74">
        <f t="shared" si="68"/>
        <v>47.399412559875849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183.13949063618546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9923.4206257013338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9923.4206257013338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0.86196412729768701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14.27283300185875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14.27283300185875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4.9130926999694466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166.51344598898669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166.51344598898669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5.6578467946418041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366.85748841976005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366.85748841976005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5.8113300973303872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300.56559565858794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300.56559565858794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2.1087891539006742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14.287088693460143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14.287088693460143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15.057777346262895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358.03122516814113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358.03122516814113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140.91335346369644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1606.7660468632666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280.55877256131697</v>
      </c>
      <c r="J488" s="74">
        <f t="shared" ref="J488:J505" si="70">IF(I488&lt;&gt;0,I488,H488)</f>
        <v>280.55877256131697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3.3044606038102131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131.84797809202749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131.84797809202749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10.079990249473639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196.19102973365764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196.19102973365764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350.54520077644509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6767.6256461900484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6767.6256461900484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2023-11-30T13:38:28Z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