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D4D07D8B-31FD-46A9-971F-FA2198FE1047}" xr6:coauthVersionLast="47" xr6:coauthVersionMax="47" xr10:uidLastSave="{00000000-0000-0000-0000-000000000000}"/>
  <bookViews>
    <workbookView xWindow="-120" yWindow="-120" windowWidth="29040" windowHeight="15720" tabRatio="945" firstSheet="11" activeTab="20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Produktion &amp; forbrug" sheetId="74" r:id="rId20"/>
    <sheet name="Kategorisering af kcal" sheetId="75" r:id="rId21"/>
    <sheet name="Landbrugsareal - resultat" sheetId="20" state="hidden" r:id="rId22"/>
    <sheet name="Pivot tabeller og data" sheetId="68" state="hidden" r:id="rId23"/>
    <sheet name="Resultat-Forbrug af biomasse" sheetId="56" state="hidden" r:id="rId24"/>
    <sheet name="Resultat-Import" sheetId="51" state="hidden" r:id="rId25"/>
    <sheet name="Resultat-Eksport" sheetId="71" state="hidden" r:id="rId26"/>
    <sheet name="Resultat-Potentiale til energi" sheetId="50" state="hidden" r:id="rId27"/>
    <sheet name="Resultat-Tørstof til energi" sheetId="67" state="hidden" r:id="rId28"/>
    <sheet name="CO2-pivot" sheetId="64" state="hidden" r:id="rId29"/>
    <sheet name="CO2-udledning" sheetId="63" state="hidden" r:id="rId30"/>
    <sheet name="Produktion afgrøder-pivot" sheetId="60" state="hidden" r:id="rId31"/>
    <sheet name="Produktion af afgrøder" sheetId="57" state="hidden" r:id="rId32"/>
    <sheet name="Produkt skovbrug" sheetId="62" state="hidden" r:id="rId33"/>
    <sheet name="Produkt havbrug" sheetId="61" state="hidden" r:id="rId34"/>
    <sheet name="Arealanvendelse - pivot" sheetId="23" state="hidden" r:id="rId35"/>
    <sheet name="Pivot chart - landbrug" sheetId="19" state="hidden" r:id="rId36"/>
    <sheet name="Arealanvendelsesresultater-big" sheetId="22" state="hidden" r:id="rId37"/>
    <sheet name="Landbrugsresultater - pivot" sheetId="18" state="hidden" r:id="rId38"/>
  </sheets>
  <externalReferences>
    <externalReference r:id="rId39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9" hidden="1">'Produktion &amp; forbrug'!$A$3:$AA$147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2" r:id="rId40"/>
    <pivotCache cacheId="17" r:id="rId41"/>
    <pivotCache cacheId="22" r:id="rId42"/>
    <pivotCache cacheId="28" r:id="rId43"/>
    <pivotCache cacheId="33" r:id="rId44"/>
    <pivotCache cacheId="38" r:id="rId45"/>
    <pivotCache cacheId="42" r:id="rId46"/>
    <pivotCache cacheId="47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75" l="1"/>
  <c r="C15" i="75"/>
  <c r="B15" i="75"/>
  <c r="D30" i="75"/>
  <c r="C30" i="75"/>
  <c r="B30" i="75"/>
  <c r="D19" i="75" l="1"/>
  <c r="D20" i="75"/>
  <c r="D21" i="75"/>
  <c r="D22" i="75"/>
  <c r="D23" i="75"/>
  <c r="D24" i="75"/>
  <c r="D25" i="75"/>
  <c r="D26" i="75"/>
  <c r="D27" i="75"/>
  <c r="D28" i="75"/>
  <c r="D29" i="75"/>
  <c r="D18" i="75"/>
  <c r="T3" i="75"/>
  <c r="T4" i="75"/>
  <c r="T5" i="75"/>
  <c r="T6" i="75"/>
  <c r="T7" i="75"/>
  <c r="T8" i="75"/>
  <c r="T9" i="75"/>
  <c r="T10" i="75"/>
  <c r="T11" i="75"/>
  <c r="T12" i="75"/>
  <c r="T13" i="75"/>
  <c r="T14" i="75"/>
  <c r="T15" i="75"/>
  <c r="T16" i="75"/>
  <c r="T17" i="75"/>
  <c r="T18" i="75"/>
  <c r="T19" i="75"/>
  <c r="T20" i="75"/>
  <c r="T21" i="75"/>
  <c r="T22" i="75"/>
  <c r="T2" i="75"/>
  <c r="D4" i="75"/>
  <c r="D5" i="75"/>
  <c r="D6" i="75"/>
  <c r="D7" i="75"/>
  <c r="D8" i="75"/>
  <c r="D9" i="75"/>
  <c r="D10" i="75"/>
  <c r="D11" i="75"/>
  <c r="D12" i="75"/>
  <c r="D13" i="75"/>
  <c r="D14" i="75"/>
  <c r="D3" i="75"/>
  <c r="C5" i="74"/>
  <c r="C6" i="74"/>
  <c r="C7" i="74"/>
  <c r="C8" i="74"/>
  <c r="C9" i="74"/>
  <c r="C10" i="74"/>
  <c r="C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35" i="74"/>
  <c r="C36" i="74"/>
  <c r="C37" i="74"/>
  <c r="C38" i="74"/>
  <c r="C39" i="74"/>
  <c r="C40" i="74"/>
  <c r="C41" i="74"/>
  <c r="C42" i="74"/>
  <c r="C43" i="74"/>
  <c r="C44" i="74"/>
  <c r="C45" i="74"/>
  <c r="C46" i="74"/>
  <c r="C47" i="74"/>
  <c r="C48" i="74"/>
  <c r="C49" i="74"/>
  <c r="C50" i="74"/>
  <c r="C51" i="74"/>
  <c r="C52" i="74"/>
  <c r="C53" i="74"/>
  <c r="C54" i="74"/>
  <c r="C55" i="74"/>
  <c r="C56" i="74"/>
  <c r="C57" i="74"/>
  <c r="C58" i="74"/>
  <c r="C59" i="74"/>
  <c r="C60" i="74"/>
  <c r="C61" i="74"/>
  <c r="C62" i="74"/>
  <c r="C63" i="74"/>
  <c r="C64" i="74"/>
  <c r="C65" i="74"/>
  <c r="C66" i="74"/>
  <c r="C67" i="74"/>
  <c r="C68" i="74"/>
  <c r="C69" i="74"/>
  <c r="C70" i="74"/>
  <c r="C71" i="74"/>
  <c r="C72" i="74"/>
  <c r="C73" i="74"/>
  <c r="C74" i="74"/>
  <c r="C75" i="74"/>
  <c r="C76" i="74"/>
  <c r="C77" i="74"/>
  <c r="C78" i="74"/>
  <c r="C79" i="74"/>
  <c r="C80" i="74"/>
  <c r="C81" i="74"/>
  <c r="C82" i="74"/>
  <c r="C83" i="74"/>
  <c r="C84" i="74"/>
  <c r="C85" i="74"/>
  <c r="C86" i="74"/>
  <c r="C87" i="74"/>
  <c r="C88" i="74"/>
  <c r="C89" i="74"/>
  <c r="C90" i="74"/>
  <c r="C91" i="74"/>
  <c r="C92" i="74"/>
  <c r="C93" i="74"/>
  <c r="C94" i="74"/>
  <c r="C95" i="74"/>
  <c r="C96" i="74"/>
  <c r="C97" i="74"/>
  <c r="C98" i="74"/>
  <c r="C99" i="74"/>
  <c r="C100" i="74"/>
  <c r="C101" i="74"/>
  <c r="C102" i="74"/>
  <c r="C103" i="74"/>
  <c r="C104" i="74"/>
  <c r="C105" i="74"/>
  <c r="C106" i="74"/>
  <c r="C107" i="74"/>
  <c r="C108" i="74"/>
  <c r="C109" i="74"/>
  <c r="C110" i="74"/>
  <c r="C111" i="74"/>
  <c r="C112" i="74"/>
  <c r="C113" i="74"/>
  <c r="C114" i="74"/>
  <c r="C115" i="74"/>
  <c r="C116" i="74"/>
  <c r="C117" i="74"/>
  <c r="C118" i="74"/>
  <c r="C119" i="74"/>
  <c r="C120" i="74"/>
  <c r="C121" i="74"/>
  <c r="C122" i="74"/>
  <c r="C123" i="74"/>
  <c r="C124" i="74"/>
  <c r="C125" i="74"/>
  <c r="C126" i="74"/>
  <c r="C127" i="74"/>
  <c r="C128" i="74"/>
  <c r="C129" i="74"/>
  <c r="C130" i="74"/>
  <c r="C131" i="74"/>
  <c r="C132" i="74"/>
  <c r="C133" i="74"/>
  <c r="C134" i="74"/>
  <c r="C135" i="74"/>
  <c r="C136" i="74"/>
  <c r="C137" i="74"/>
  <c r="C138" i="74"/>
  <c r="C139" i="74"/>
  <c r="C140" i="74"/>
  <c r="C141" i="74"/>
  <c r="C142" i="74"/>
  <c r="C143" i="74"/>
  <c r="C144" i="74"/>
  <c r="C145" i="74"/>
  <c r="C146" i="74"/>
  <c r="C147" i="74"/>
  <c r="C4" i="74"/>
  <c r="R3" i="75"/>
  <c r="R4" i="75"/>
  <c r="R5" i="75"/>
  <c r="R6" i="75"/>
  <c r="R7" i="75"/>
  <c r="R8" i="75"/>
  <c r="R9" i="75"/>
  <c r="R10" i="75"/>
  <c r="R11" i="75"/>
  <c r="R12" i="75"/>
  <c r="R13" i="75"/>
  <c r="R14" i="75"/>
  <c r="R15" i="75"/>
  <c r="R16" i="75"/>
  <c r="R17" i="75"/>
  <c r="R18" i="75"/>
  <c r="R19" i="75"/>
  <c r="R20" i="75"/>
  <c r="R21" i="75"/>
  <c r="R22" i="75"/>
  <c r="R2" i="75"/>
  <c r="AB3" i="74" l="1"/>
  <c r="E99" i="74"/>
  <c r="E147" i="74" s="1"/>
  <c r="B99" i="74"/>
  <c r="B147" i="74" s="1"/>
  <c r="A99" i="74"/>
  <c r="E98" i="74"/>
  <c r="E146" i="74" s="1"/>
  <c r="B98" i="74"/>
  <c r="B146" i="74" s="1"/>
  <c r="A98" i="74"/>
  <c r="E97" i="74"/>
  <c r="E145" i="74" s="1"/>
  <c r="B97" i="74"/>
  <c r="B145" i="74" s="1"/>
  <c r="A97" i="74"/>
  <c r="E96" i="74"/>
  <c r="E144" i="74" s="1"/>
  <c r="B96" i="74"/>
  <c r="B144" i="74" s="1"/>
  <c r="A96" i="74"/>
  <c r="E95" i="74"/>
  <c r="E143" i="74" s="1"/>
  <c r="B95" i="74"/>
  <c r="B143" i="74" s="1"/>
  <c r="A95" i="74"/>
  <c r="E94" i="74"/>
  <c r="E142" i="74" s="1"/>
  <c r="B94" i="74"/>
  <c r="B142" i="74" s="1"/>
  <c r="A94" i="74"/>
  <c r="E93" i="74"/>
  <c r="E141" i="74" s="1"/>
  <c r="B93" i="74"/>
  <c r="B141" i="74" s="1"/>
  <c r="A93" i="74"/>
  <c r="E92" i="74"/>
  <c r="E140" i="74" s="1"/>
  <c r="B92" i="74"/>
  <c r="B140" i="74" s="1"/>
  <c r="A92" i="74"/>
  <c r="E91" i="74"/>
  <c r="E139" i="74" s="1"/>
  <c r="B91" i="74"/>
  <c r="B139" i="74" s="1"/>
  <c r="A91" i="74"/>
  <c r="E90" i="74"/>
  <c r="E138" i="74" s="1"/>
  <c r="B90" i="74"/>
  <c r="B138" i="74" s="1"/>
  <c r="A90" i="74"/>
  <c r="E89" i="74"/>
  <c r="E137" i="74" s="1"/>
  <c r="B89" i="74"/>
  <c r="B137" i="74" s="1"/>
  <c r="A89" i="74"/>
  <c r="E88" i="74"/>
  <c r="E136" i="74" s="1"/>
  <c r="B88" i="74"/>
  <c r="B136" i="74" s="1"/>
  <c r="A88" i="74"/>
  <c r="E87" i="74"/>
  <c r="E135" i="74" s="1"/>
  <c r="B87" i="74"/>
  <c r="B135" i="74" s="1"/>
  <c r="A87" i="74"/>
  <c r="E86" i="74"/>
  <c r="E134" i="74" s="1"/>
  <c r="B86" i="74"/>
  <c r="B134" i="74" s="1"/>
  <c r="A86" i="74"/>
  <c r="E85" i="74"/>
  <c r="E133" i="74" s="1"/>
  <c r="B85" i="74"/>
  <c r="B133" i="74" s="1"/>
  <c r="A85" i="74"/>
  <c r="E84" i="74"/>
  <c r="E132" i="74" s="1"/>
  <c r="B84" i="74"/>
  <c r="B132" i="74" s="1"/>
  <c r="A84" i="74"/>
  <c r="E83" i="74"/>
  <c r="E131" i="74" s="1"/>
  <c r="B83" i="74"/>
  <c r="B131" i="74" s="1"/>
  <c r="A83" i="74"/>
  <c r="E82" i="74"/>
  <c r="E130" i="74" s="1"/>
  <c r="B82" i="74"/>
  <c r="B130" i="74" s="1"/>
  <c r="A82" i="74"/>
  <c r="E81" i="74"/>
  <c r="E129" i="74" s="1"/>
  <c r="B81" i="74"/>
  <c r="B129" i="74" s="1"/>
  <c r="A81" i="74"/>
  <c r="E80" i="74"/>
  <c r="E128" i="74" s="1"/>
  <c r="B80" i="74"/>
  <c r="B128" i="74" s="1"/>
  <c r="A80" i="74"/>
  <c r="E79" i="74"/>
  <c r="E127" i="74" s="1"/>
  <c r="B79" i="74"/>
  <c r="B127" i="74" s="1"/>
  <c r="A79" i="74"/>
  <c r="E78" i="74"/>
  <c r="E126" i="74" s="1"/>
  <c r="B78" i="74"/>
  <c r="B126" i="74" s="1"/>
  <c r="A78" i="74"/>
  <c r="E77" i="74"/>
  <c r="E125" i="74" s="1"/>
  <c r="B77" i="74"/>
  <c r="B125" i="74" s="1"/>
  <c r="A77" i="74"/>
  <c r="E76" i="74"/>
  <c r="E124" i="74" s="1"/>
  <c r="B76" i="74"/>
  <c r="B124" i="74" s="1"/>
  <c r="A76" i="74"/>
  <c r="E75" i="74"/>
  <c r="E123" i="74" s="1"/>
  <c r="B75" i="74"/>
  <c r="B123" i="74" s="1"/>
  <c r="A75" i="74"/>
  <c r="E74" i="74"/>
  <c r="E122" i="74" s="1"/>
  <c r="B74" i="74"/>
  <c r="B122" i="74" s="1"/>
  <c r="A74" i="74"/>
  <c r="E73" i="74"/>
  <c r="E121" i="74" s="1"/>
  <c r="B73" i="74"/>
  <c r="B121" i="74" s="1"/>
  <c r="A73" i="74"/>
  <c r="E72" i="74"/>
  <c r="E120" i="74" s="1"/>
  <c r="B72" i="74"/>
  <c r="B120" i="74" s="1"/>
  <c r="A72" i="74"/>
  <c r="E71" i="74"/>
  <c r="E119" i="74" s="1"/>
  <c r="B71" i="74"/>
  <c r="B119" i="74" s="1"/>
  <c r="A71" i="74"/>
  <c r="E70" i="74"/>
  <c r="E118" i="74" s="1"/>
  <c r="B70" i="74"/>
  <c r="B118" i="74" s="1"/>
  <c r="A70" i="74"/>
  <c r="E69" i="74"/>
  <c r="E117" i="74" s="1"/>
  <c r="B69" i="74"/>
  <c r="B117" i="74" s="1"/>
  <c r="A69" i="74"/>
  <c r="E68" i="74"/>
  <c r="E116" i="74" s="1"/>
  <c r="B68" i="74"/>
  <c r="B116" i="74" s="1"/>
  <c r="A68" i="74"/>
  <c r="E67" i="74"/>
  <c r="E115" i="74" s="1"/>
  <c r="B67" i="74"/>
  <c r="B115" i="74" s="1"/>
  <c r="A67" i="74"/>
  <c r="E66" i="74"/>
  <c r="E114" i="74" s="1"/>
  <c r="B66" i="74"/>
  <c r="B114" i="74" s="1"/>
  <c r="A66" i="74"/>
  <c r="E65" i="74"/>
  <c r="E113" i="74" s="1"/>
  <c r="B65" i="74"/>
  <c r="B113" i="74" s="1"/>
  <c r="A65" i="74"/>
  <c r="E64" i="74"/>
  <c r="E112" i="74" s="1"/>
  <c r="B64" i="74"/>
  <c r="B112" i="74" s="1"/>
  <c r="A64" i="74"/>
  <c r="E63" i="74"/>
  <c r="E111" i="74" s="1"/>
  <c r="B63" i="74"/>
  <c r="B111" i="74" s="1"/>
  <c r="A63" i="74"/>
  <c r="E62" i="74"/>
  <c r="E110" i="74" s="1"/>
  <c r="B62" i="74"/>
  <c r="B110" i="74" s="1"/>
  <c r="A62" i="74"/>
  <c r="E61" i="74"/>
  <c r="E109" i="74" s="1"/>
  <c r="B61" i="74"/>
  <c r="B109" i="74" s="1"/>
  <c r="A61" i="74"/>
  <c r="E60" i="74"/>
  <c r="E108" i="74" s="1"/>
  <c r="B60" i="74"/>
  <c r="B108" i="74" s="1"/>
  <c r="A60" i="74"/>
  <c r="E59" i="74"/>
  <c r="E107" i="74" s="1"/>
  <c r="B59" i="74"/>
  <c r="B107" i="74" s="1"/>
  <c r="A59" i="74"/>
  <c r="E58" i="74"/>
  <c r="E106" i="74" s="1"/>
  <c r="B58" i="74"/>
  <c r="B106" i="74" s="1"/>
  <c r="A58" i="74"/>
  <c r="E57" i="74"/>
  <c r="E105" i="74" s="1"/>
  <c r="B57" i="74"/>
  <c r="B105" i="74" s="1"/>
  <c r="A57" i="74"/>
  <c r="E56" i="74"/>
  <c r="E104" i="74" s="1"/>
  <c r="B56" i="74"/>
  <c r="B104" i="74" s="1"/>
  <c r="A56" i="74"/>
  <c r="E55" i="74"/>
  <c r="E103" i="74" s="1"/>
  <c r="B55" i="74"/>
  <c r="B103" i="74" s="1"/>
  <c r="A55" i="74"/>
  <c r="E54" i="74"/>
  <c r="E102" i="74" s="1"/>
  <c r="B54" i="74"/>
  <c r="B102" i="74" s="1"/>
  <c r="A54" i="74"/>
  <c r="E53" i="74"/>
  <c r="E101" i="74" s="1"/>
  <c r="B53" i="74"/>
  <c r="B101" i="74" s="1"/>
  <c r="A53" i="74"/>
  <c r="E52" i="74"/>
  <c r="E100" i="74" s="1"/>
  <c r="B52" i="74"/>
  <c r="B100" i="74" s="1"/>
  <c r="A52" i="74"/>
  <c r="S7" i="74"/>
  <c r="A136" i="74" l="1"/>
  <c r="A139" i="74"/>
  <c r="A142" i="74"/>
  <c r="A145" i="74"/>
  <c r="A109" i="74"/>
  <c r="A112" i="74"/>
  <c r="S55" i="74"/>
  <c r="A115" i="74"/>
  <c r="A118" i="74"/>
  <c r="A121" i="74"/>
  <c r="A106" i="74"/>
  <c r="A127" i="74"/>
  <c r="A100" i="74"/>
  <c r="A130" i="74"/>
  <c r="A147" i="74"/>
  <c r="A131" i="74"/>
  <c r="A113" i="74"/>
  <c r="A101" i="74"/>
  <c r="A108" i="74"/>
  <c r="A110" i="74"/>
  <c r="A122" i="74"/>
  <c r="A102" i="74"/>
  <c r="A107" i="74"/>
  <c r="A116" i="74"/>
  <c r="A117" i="74"/>
  <c r="A128" i="74"/>
  <c r="A140" i="74"/>
  <c r="A138" i="74"/>
  <c r="A143" i="74"/>
  <c r="A104" i="74"/>
  <c r="A105" i="74"/>
  <c r="A114" i="74"/>
  <c r="A123" i="74"/>
  <c r="A134" i="74"/>
  <c r="A146" i="74"/>
  <c r="A141" i="74"/>
  <c r="A144" i="74"/>
  <c r="A120" i="74"/>
  <c r="A129" i="74"/>
  <c r="A111" i="74"/>
  <c r="A126" i="74"/>
  <c r="A119" i="74"/>
  <c r="A125" i="74"/>
  <c r="A132" i="74"/>
  <c r="A137" i="74"/>
  <c r="A135" i="74"/>
  <c r="A133" i="74"/>
  <c r="A124" i="74"/>
  <c r="A103" i="74"/>
  <c r="S103" i="74" l="1"/>
  <c r="D53" i="66" l="1"/>
  <c r="D54" i="66"/>
  <c r="D102" i="66" s="1"/>
  <c r="D150" i="66" s="1"/>
  <c r="D198" i="66" s="1"/>
  <c r="D246" i="66" s="1"/>
  <c r="D55" i="66"/>
  <c r="D103" i="66" s="1"/>
  <c r="D151" i="66" s="1"/>
  <c r="D199" i="66" s="1"/>
  <c r="D247" i="66" s="1"/>
  <c r="D56" i="66"/>
  <c r="D104" i="66" s="1"/>
  <c r="D152" i="66" s="1"/>
  <c r="D200" i="66" s="1"/>
  <c r="D248" i="66" s="1"/>
  <c r="D57" i="66"/>
  <c r="D105" i="66" s="1"/>
  <c r="D153" i="66" s="1"/>
  <c r="D201" i="66" s="1"/>
  <c r="D249" i="66" s="1"/>
  <c r="D58" i="66"/>
  <c r="D59" i="66"/>
  <c r="D107" i="66" s="1"/>
  <c r="D155" i="66" s="1"/>
  <c r="D203" i="66" s="1"/>
  <c r="D251" i="66" s="1"/>
  <c r="D60" i="66"/>
  <c r="D108" i="66" s="1"/>
  <c r="D156" i="66" s="1"/>
  <c r="D204" i="66" s="1"/>
  <c r="D252" i="66" s="1"/>
  <c r="D61" i="66"/>
  <c r="D109" i="66" s="1"/>
  <c r="D157" i="66" s="1"/>
  <c r="D205" i="66" s="1"/>
  <c r="D253" i="66" s="1"/>
  <c r="D62" i="66"/>
  <c r="D110" i="66" s="1"/>
  <c r="D158" i="66" s="1"/>
  <c r="D206" i="66" s="1"/>
  <c r="D254" i="66" s="1"/>
  <c r="D63" i="66"/>
  <c r="D111" i="66" s="1"/>
  <c r="D159" i="66" s="1"/>
  <c r="D207" i="66" s="1"/>
  <c r="D255" i="66" s="1"/>
  <c r="D64" i="66"/>
  <c r="D112" i="66" s="1"/>
  <c r="D160" i="66" s="1"/>
  <c r="D208" i="66" s="1"/>
  <c r="D256" i="66" s="1"/>
  <c r="D65" i="66"/>
  <c r="D66" i="66"/>
  <c r="D67" i="66"/>
  <c r="D115" i="66" s="1"/>
  <c r="D163" i="66" s="1"/>
  <c r="D211" i="66" s="1"/>
  <c r="D259" i="66" s="1"/>
  <c r="D68" i="66"/>
  <c r="D116" i="66" s="1"/>
  <c r="D164" i="66" s="1"/>
  <c r="D212" i="66" s="1"/>
  <c r="D260" i="66" s="1"/>
  <c r="D69" i="66"/>
  <c r="D117" i="66" s="1"/>
  <c r="D165" i="66" s="1"/>
  <c r="D213" i="66" s="1"/>
  <c r="D261" i="66" s="1"/>
  <c r="D70" i="66"/>
  <c r="D118" i="66" s="1"/>
  <c r="D166" i="66" s="1"/>
  <c r="D214" i="66" s="1"/>
  <c r="D262" i="66" s="1"/>
  <c r="D71" i="66"/>
  <c r="D119" i="66" s="1"/>
  <c r="D167" i="66" s="1"/>
  <c r="D215" i="66" s="1"/>
  <c r="D263" i="66" s="1"/>
  <c r="D72" i="66"/>
  <c r="D120" i="66" s="1"/>
  <c r="D168" i="66" s="1"/>
  <c r="D216" i="66" s="1"/>
  <c r="D264" i="66" s="1"/>
  <c r="D73" i="66"/>
  <c r="D121" i="66" s="1"/>
  <c r="D169" i="66" s="1"/>
  <c r="D217" i="66" s="1"/>
  <c r="D265" i="66" s="1"/>
  <c r="D74" i="66"/>
  <c r="D122" i="66" s="1"/>
  <c r="D170" i="66" s="1"/>
  <c r="D218" i="66" s="1"/>
  <c r="D266" i="66" s="1"/>
  <c r="D75" i="66"/>
  <c r="D123" i="66" s="1"/>
  <c r="D171" i="66" s="1"/>
  <c r="D219" i="66" s="1"/>
  <c r="D267" i="66" s="1"/>
  <c r="D76" i="66"/>
  <c r="D124" i="66" s="1"/>
  <c r="D172" i="66" s="1"/>
  <c r="D220" i="66" s="1"/>
  <c r="D268" i="66" s="1"/>
  <c r="D77" i="66"/>
  <c r="D125" i="66" s="1"/>
  <c r="D173" i="66" s="1"/>
  <c r="D221" i="66" s="1"/>
  <c r="D269" i="66" s="1"/>
  <c r="D78" i="66"/>
  <c r="D79" i="66"/>
  <c r="D80" i="66"/>
  <c r="D128" i="66" s="1"/>
  <c r="D176" i="66" s="1"/>
  <c r="D224" i="66" s="1"/>
  <c r="D272" i="66" s="1"/>
  <c r="D81" i="66"/>
  <c r="D82" i="66"/>
  <c r="D130" i="66" s="1"/>
  <c r="D178" i="66" s="1"/>
  <c r="D226" i="66" s="1"/>
  <c r="D274" i="66" s="1"/>
  <c r="D83" i="66"/>
  <c r="D131" i="66" s="1"/>
  <c r="D179" i="66" s="1"/>
  <c r="D227" i="66" s="1"/>
  <c r="D275" i="66" s="1"/>
  <c r="D84" i="66"/>
  <c r="D85" i="66"/>
  <c r="D133" i="66" s="1"/>
  <c r="D181" i="66" s="1"/>
  <c r="D229" i="66" s="1"/>
  <c r="D277" i="66" s="1"/>
  <c r="D86" i="66"/>
  <c r="D134" i="66" s="1"/>
  <c r="D182" i="66" s="1"/>
  <c r="D230" i="66" s="1"/>
  <c r="D278" i="66" s="1"/>
  <c r="D87" i="66"/>
  <c r="D135" i="66" s="1"/>
  <c r="D183" i="66" s="1"/>
  <c r="D231" i="66" s="1"/>
  <c r="D279" i="66" s="1"/>
  <c r="D88" i="66"/>
  <c r="D136" i="66" s="1"/>
  <c r="D184" i="66" s="1"/>
  <c r="D232" i="66" s="1"/>
  <c r="D280" i="66" s="1"/>
  <c r="D89" i="66"/>
  <c r="D137" i="66" s="1"/>
  <c r="D185" i="66" s="1"/>
  <c r="D233" i="66" s="1"/>
  <c r="D281" i="66" s="1"/>
  <c r="D90" i="66"/>
  <c r="D91" i="66"/>
  <c r="D139" i="66" s="1"/>
  <c r="D187" i="66" s="1"/>
  <c r="D235" i="66" s="1"/>
  <c r="D283" i="66" s="1"/>
  <c r="D92" i="66"/>
  <c r="D140" i="66" s="1"/>
  <c r="D188" i="66" s="1"/>
  <c r="D236" i="66" s="1"/>
  <c r="D284" i="66" s="1"/>
  <c r="D93" i="66"/>
  <c r="D94" i="66"/>
  <c r="D142" i="66" s="1"/>
  <c r="D190" i="66" s="1"/>
  <c r="D238" i="66" s="1"/>
  <c r="D286" i="66" s="1"/>
  <c r="D95" i="66"/>
  <c r="D143" i="66" s="1"/>
  <c r="D191" i="66" s="1"/>
  <c r="D239" i="66" s="1"/>
  <c r="D287" i="66" s="1"/>
  <c r="D96" i="66"/>
  <c r="D144" i="66" s="1"/>
  <c r="D192" i="66" s="1"/>
  <c r="D240" i="66" s="1"/>
  <c r="D288" i="66" s="1"/>
  <c r="D97" i="66"/>
  <c r="D145" i="66" s="1"/>
  <c r="D193" i="66" s="1"/>
  <c r="D241" i="66" s="1"/>
  <c r="D289" i="66" s="1"/>
  <c r="D98" i="66"/>
  <c r="D146" i="66" s="1"/>
  <c r="D194" i="66" s="1"/>
  <c r="D242" i="66" s="1"/>
  <c r="D290" i="66" s="1"/>
  <c r="D99" i="66"/>
  <c r="D147" i="66" s="1"/>
  <c r="D195" i="66" s="1"/>
  <c r="D243" i="66" s="1"/>
  <c r="D291" i="66" s="1"/>
  <c r="D101" i="66"/>
  <c r="D106" i="66"/>
  <c r="D154" i="66" s="1"/>
  <c r="D202" i="66" s="1"/>
  <c r="D250" i="66" s="1"/>
  <c r="D113" i="66"/>
  <c r="D161" i="66" s="1"/>
  <c r="D209" i="66" s="1"/>
  <c r="D257" i="66" s="1"/>
  <c r="D114" i="66"/>
  <c r="D162" i="66" s="1"/>
  <c r="D210" i="66" s="1"/>
  <c r="D258" i="66" s="1"/>
  <c r="D126" i="66"/>
  <c r="D174" i="66" s="1"/>
  <c r="D222" i="66" s="1"/>
  <c r="D270" i="66" s="1"/>
  <c r="D129" i="66"/>
  <c r="D177" i="66" s="1"/>
  <c r="D225" i="66" s="1"/>
  <c r="D273" i="66" s="1"/>
  <c r="D132" i="66"/>
  <c r="D180" i="66" s="1"/>
  <c r="D228" i="66" s="1"/>
  <c r="D276" i="66" s="1"/>
  <c r="D138" i="66"/>
  <c r="D186" i="66" s="1"/>
  <c r="D234" i="66" s="1"/>
  <c r="D282" i="66" s="1"/>
  <c r="D141" i="66"/>
  <c r="D189" i="66" s="1"/>
  <c r="D237" i="66" s="1"/>
  <c r="D285" i="66" s="1"/>
  <c r="D149" i="66"/>
  <c r="D197" i="66" s="1"/>
  <c r="D245" i="66" s="1"/>
  <c r="D52" i="66"/>
  <c r="D100" i="66" s="1"/>
  <c r="D148" i="66" s="1"/>
  <c r="D196" i="66" s="1"/>
  <c r="D244" i="66" s="1"/>
  <c r="D127" i="66" l="1"/>
  <c r="D175" i="66" l="1"/>
  <c r="D223" i="66" l="1"/>
  <c r="D271" i="66" l="1"/>
  <c r="D5" i="32" l="1"/>
  <c r="E5" i="32" s="1"/>
  <c r="D6" i="32"/>
  <c r="E6" i="32" s="1"/>
  <c r="D7" i="32"/>
  <c r="E7" i="32" s="1"/>
  <c r="E4" i="32"/>
  <c r="D4" i="32"/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E35" i="17" s="1"/>
  <c r="C36" i="17"/>
  <c r="D36" i="17" s="1"/>
  <c r="E36" i="17" s="1"/>
  <c r="C37" i="17"/>
  <c r="D37" i="17" s="1"/>
  <c r="E37" i="17" s="1"/>
  <c r="C38" i="17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39" i="17" l="1"/>
  <c r="E39" i="17" s="1"/>
  <c r="D38" i="17"/>
  <c r="E38" i="17" s="1"/>
  <c r="C56" i="17"/>
  <c r="D32" i="17"/>
  <c r="E32" i="17" s="1"/>
  <c r="C60" i="26"/>
  <c r="D60" i="26" s="1"/>
  <c r="B61" i="26"/>
  <c r="E56" i="17" l="1"/>
  <c r="D46" i="17"/>
  <c r="D56" i="17"/>
  <c r="D59" i="26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E17" i="34" s="1"/>
  <c r="A3" i="34"/>
  <c r="C3" i="34" s="1"/>
  <c r="D3" i="34" s="1"/>
  <c r="E3" i="34" s="1"/>
  <c r="A4" i="34"/>
  <c r="C189" i="38" s="1"/>
  <c r="A5" i="34"/>
  <c r="C190" i="38" s="1"/>
  <c r="A6" i="34"/>
  <c r="C191" i="38" s="1"/>
  <c r="A7" i="34"/>
  <c r="C7" i="34" s="1"/>
  <c r="A8" i="34"/>
  <c r="C8" i="34" s="1"/>
  <c r="D8" i="34" s="1"/>
  <c r="E8" i="34" s="1"/>
  <c r="A9" i="34"/>
  <c r="C9" i="34" s="1"/>
  <c r="A10" i="34"/>
  <c r="A11" i="34"/>
  <c r="A12" i="34"/>
  <c r="C12" i="34" s="1"/>
  <c r="D12" i="34" s="1"/>
  <c r="E12" i="34" s="1"/>
  <c r="A13" i="34"/>
  <c r="C13" i="34" s="1"/>
  <c r="D13" i="34" s="1"/>
  <c r="E13" i="34" s="1"/>
  <c r="A14" i="34"/>
  <c r="C14" i="34" s="1"/>
  <c r="A15" i="34"/>
  <c r="C15" i="34" s="1"/>
  <c r="A16" i="34"/>
  <c r="C201" i="38" s="1"/>
  <c r="B26" i="6"/>
  <c r="D9" i="34" l="1"/>
  <c r="E9" i="34" s="1"/>
  <c r="D7" i="34"/>
  <c r="E7" i="34" s="1"/>
  <c r="D15" i="34"/>
  <c r="C11" i="34"/>
  <c r="D11" i="34" s="1"/>
  <c r="C10" i="34"/>
  <c r="D10" i="34" s="1"/>
  <c r="C198" i="38"/>
  <c r="C197" i="38"/>
  <c r="C196" i="38"/>
  <c r="C200" i="38"/>
  <c r="C199" i="38"/>
  <c r="C16" i="34"/>
  <c r="D16" i="34" s="1"/>
  <c r="E16" i="34" s="1"/>
  <c r="C195" i="38"/>
  <c r="C6" i="34"/>
  <c r="D6" i="34" s="1"/>
  <c r="E6" i="34" s="1"/>
  <c r="C194" i="38"/>
  <c r="C5" i="34"/>
  <c r="D5" i="34" s="1"/>
  <c r="E5" i="34" s="1"/>
  <c r="C193" i="38"/>
  <c r="C4" i="34"/>
  <c r="D4" i="34" s="1"/>
  <c r="E4" i="34" s="1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E10" i="34" l="1"/>
  <c r="E11" i="34"/>
  <c r="E15" i="34"/>
  <c r="E14" i="34" s="1"/>
  <c r="D14" i="34"/>
  <c r="A228" i="66"/>
  <c r="I228" i="66" s="1"/>
  <c r="B228" i="66"/>
  <c r="B276" i="66" s="1"/>
  <c r="A229" i="66"/>
  <c r="A277" i="66" s="1"/>
  <c r="B229" i="66"/>
  <c r="B277" i="66" s="1"/>
  <c r="I180" i="66"/>
  <c r="I181" i="66"/>
  <c r="B84" i="66"/>
  <c r="B132" i="66" s="1"/>
  <c r="B85" i="66"/>
  <c r="B133" i="66" s="1"/>
  <c r="A84" i="66"/>
  <c r="I84" i="66" s="1"/>
  <c r="A85" i="66"/>
  <c r="A133" i="66" s="1"/>
  <c r="I36" i="66"/>
  <c r="I37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6" i="66" l="1"/>
  <c r="I276" i="66" s="1"/>
  <c r="A497" i="41"/>
  <c r="A496" i="41"/>
  <c r="I277" i="66"/>
  <c r="I229" i="66"/>
  <c r="I85" i="66"/>
  <c r="A132" i="66"/>
  <c r="I133" i="66"/>
  <c r="F487" i="41"/>
  <c r="I132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I148" i="66"/>
  <c r="I149" i="66"/>
  <c r="I150" i="66"/>
  <c r="I151" i="66"/>
  <c r="I152" i="66"/>
  <c r="I153" i="66"/>
  <c r="I154" i="66"/>
  <c r="I155" i="66"/>
  <c r="I156" i="66"/>
  <c r="I157" i="66"/>
  <c r="I158" i="66"/>
  <c r="I159" i="66"/>
  <c r="I160" i="66"/>
  <c r="I161" i="66"/>
  <c r="I162" i="66"/>
  <c r="I163" i="66"/>
  <c r="I165" i="66"/>
  <c r="I166" i="66"/>
  <c r="I167" i="66"/>
  <c r="I168" i="66"/>
  <c r="I169" i="66"/>
  <c r="I170" i="66"/>
  <c r="I171" i="66"/>
  <c r="I172" i="66"/>
  <c r="I173" i="66"/>
  <c r="I174" i="66"/>
  <c r="I175" i="66"/>
  <c r="I176" i="66"/>
  <c r="I177" i="66"/>
  <c r="I178" i="66"/>
  <c r="I179" i="66"/>
  <c r="I182" i="66"/>
  <c r="I183" i="66"/>
  <c r="I184" i="66"/>
  <c r="I185" i="66"/>
  <c r="I186" i="66"/>
  <c r="I187" i="66"/>
  <c r="I188" i="66"/>
  <c r="I189" i="66"/>
  <c r="I190" i="66"/>
  <c r="I191" i="66"/>
  <c r="I192" i="66"/>
  <c r="I193" i="66"/>
  <c r="I194" i="66"/>
  <c r="I195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2" i="66"/>
  <c r="E52" i="66"/>
  <c r="A53" i="66"/>
  <c r="A101" i="66" s="1"/>
  <c r="E53" i="66"/>
  <c r="E54" i="66"/>
  <c r="A54" i="66"/>
  <c r="A102" i="66" s="1"/>
  <c r="E198" i="66"/>
  <c r="A198" i="66"/>
  <c r="E55" i="66"/>
  <c r="A55" i="66"/>
  <c r="A103" i="66" s="1"/>
  <c r="E199" i="66"/>
  <c r="A199" i="66"/>
  <c r="S199" i="66" s="1"/>
  <c r="A56" i="66"/>
  <c r="E56" i="66"/>
  <c r="E57" i="66"/>
  <c r="A57" i="66"/>
  <c r="E201" i="66"/>
  <c r="A201" i="66"/>
  <c r="A249" i="66" s="1"/>
  <c r="E58" i="66"/>
  <c r="A58" i="66"/>
  <c r="A106" i="66" s="1"/>
  <c r="E202" i="66"/>
  <c r="A202" i="66"/>
  <c r="A250" i="66" s="1"/>
  <c r="A59" i="66"/>
  <c r="A60" i="66"/>
  <c r="A61" i="66"/>
  <c r="A109" i="66" s="1"/>
  <c r="A62" i="66"/>
  <c r="I4" i="66"/>
  <c r="I5" i="66"/>
  <c r="I6" i="66"/>
  <c r="I9" i="66"/>
  <c r="I10" i="66"/>
  <c r="I11" i="66"/>
  <c r="I12" i="66"/>
  <c r="I13" i="66"/>
  <c r="I14" i="66"/>
  <c r="I15" i="66"/>
  <c r="I16" i="66"/>
  <c r="I17" i="66"/>
  <c r="I18" i="66"/>
  <c r="I19" i="66"/>
  <c r="I21" i="66"/>
  <c r="I22" i="66"/>
  <c r="I23" i="66"/>
  <c r="I24" i="66"/>
  <c r="I25" i="66"/>
  <c r="I26" i="66"/>
  <c r="I27" i="66"/>
  <c r="I28" i="66"/>
  <c r="I29" i="66"/>
  <c r="I30" i="66"/>
  <c r="I31" i="66"/>
  <c r="I32" i="66"/>
  <c r="I33" i="66"/>
  <c r="I34" i="66"/>
  <c r="I35" i="66"/>
  <c r="I38" i="66"/>
  <c r="I39" i="66"/>
  <c r="I40" i="66"/>
  <c r="I41" i="66"/>
  <c r="I42" i="66"/>
  <c r="I43" i="66"/>
  <c r="I44" i="66"/>
  <c r="I45" i="66"/>
  <c r="I46" i="66"/>
  <c r="I47" i="66"/>
  <c r="I48" i="66"/>
  <c r="I49" i="66"/>
  <c r="I50" i="66"/>
  <c r="I51" i="66"/>
  <c r="E59" i="66"/>
  <c r="E60" i="66"/>
  <c r="E61" i="66"/>
  <c r="E62" i="66"/>
  <c r="E63" i="66"/>
  <c r="A63" i="66"/>
  <c r="E64" i="66"/>
  <c r="A64" i="66"/>
  <c r="E65" i="66"/>
  <c r="A65" i="66"/>
  <c r="E66" i="66"/>
  <c r="A66" i="66"/>
  <c r="A114" i="66" s="1"/>
  <c r="E67" i="66"/>
  <c r="A67" i="66"/>
  <c r="E68" i="66"/>
  <c r="A68" i="66"/>
  <c r="E69" i="66"/>
  <c r="A69" i="66"/>
  <c r="A117" i="66" s="1"/>
  <c r="E70" i="66"/>
  <c r="A70" i="66"/>
  <c r="E71" i="66"/>
  <c r="A71" i="66"/>
  <c r="E72" i="66"/>
  <c r="A72" i="66"/>
  <c r="A120" i="66" s="1"/>
  <c r="E73" i="66"/>
  <c r="A73" i="66"/>
  <c r="E74" i="66"/>
  <c r="A74" i="66"/>
  <c r="A122" i="66" s="1"/>
  <c r="E75" i="66"/>
  <c r="A75" i="66"/>
  <c r="E76" i="66"/>
  <c r="A76" i="66"/>
  <c r="E77" i="66"/>
  <c r="A77" i="66"/>
  <c r="A125" i="66" s="1"/>
  <c r="E78" i="66"/>
  <c r="A78" i="66"/>
  <c r="A126" i="66" s="1"/>
  <c r="E79" i="66"/>
  <c r="A79" i="66"/>
  <c r="E80" i="66"/>
  <c r="A80" i="66"/>
  <c r="E81" i="66"/>
  <c r="A81" i="66"/>
  <c r="E82" i="66"/>
  <c r="A82" i="66"/>
  <c r="A130" i="66" s="1"/>
  <c r="E83" i="66"/>
  <c r="A83" i="66"/>
  <c r="A131" i="66" s="1"/>
  <c r="E86" i="66"/>
  <c r="A86" i="66"/>
  <c r="A134" i="66" s="1"/>
  <c r="E87" i="66"/>
  <c r="A87" i="66"/>
  <c r="E88" i="66"/>
  <c r="A88" i="66"/>
  <c r="E89" i="66"/>
  <c r="A89" i="66"/>
  <c r="A137" i="66" s="1"/>
  <c r="E90" i="66"/>
  <c r="A90" i="66"/>
  <c r="E91" i="66"/>
  <c r="A91" i="66"/>
  <c r="A139" i="66" s="1"/>
  <c r="E92" i="66"/>
  <c r="A92" i="66"/>
  <c r="A140" i="66" s="1"/>
  <c r="E93" i="66"/>
  <c r="A93" i="66"/>
  <c r="E94" i="66"/>
  <c r="A94" i="66"/>
  <c r="E95" i="66"/>
  <c r="A95" i="66"/>
  <c r="E96" i="66"/>
  <c r="A96" i="66"/>
  <c r="A144" i="66" s="1"/>
  <c r="E97" i="66"/>
  <c r="A97" i="66"/>
  <c r="E98" i="66"/>
  <c r="A98" i="66"/>
  <c r="A146" i="66" s="1"/>
  <c r="E99" i="66"/>
  <c r="A99" i="66"/>
  <c r="E118" i="66"/>
  <c r="E122" i="66"/>
  <c r="E196" i="66"/>
  <c r="A196" i="66"/>
  <c r="A244" i="66" s="1"/>
  <c r="E197" i="66"/>
  <c r="A197" i="66"/>
  <c r="A245" i="66" s="1"/>
  <c r="E200" i="66"/>
  <c r="A200" i="66"/>
  <c r="E203" i="66"/>
  <c r="A203" i="66"/>
  <c r="A251" i="66" s="1"/>
  <c r="E204" i="66"/>
  <c r="A204" i="66"/>
  <c r="E205" i="66"/>
  <c r="A205" i="66"/>
  <c r="A253" i="66" s="1"/>
  <c r="E206" i="66"/>
  <c r="A206" i="66"/>
  <c r="E207" i="66"/>
  <c r="A207" i="66"/>
  <c r="E208" i="66"/>
  <c r="A208" i="66"/>
  <c r="A256" i="66" s="1"/>
  <c r="E209" i="66"/>
  <c r="A209" i="66"/>
  <c r="A257" i="66" s="1"/>
  <c r="E210" i="66"/>
  <c r="A210" i="66"/>
  <c r="E211" i="66"/>
  <c r="A211" i="66"/>
  <c r="E212" i="66"/>
  <c r="A212" i="66"/>
  <c r="E213" i="66"/>
  <c r="A213" i="66"/>
  <c r="A261" i="66" s="1"/>
  <c r="E214" i="66"/>
  <c r="A214" i="66"/>
  <c r="E215" i="66"/>
  <c r="A215" i="66"/>
  <c r="E216" i="66"/>
  <c r="A216" i="66"/>
  <c r="E217" i="66"/>
  <c r="A217" i="66"/>
  <c r="E218" i="66"/>
  <c r="A218" i="66"/>
  <c r="E219" i="66"/>
  <c r="A219" i="66"/>
  <c r="A267" i="66" s="1"/>
  <c r="E220" i="66"/>
  <c r="A220" i="66"/>
  <c r="E221" i="66"/>
  <c r="A221" i="66"/>
  <c r="A269" i="66" s="1"/>
  <c r="E222" i="66"/>
  <c r="A222" i="66"/>
  <c r="E223" i="66"/>
  <c r="A223" i="66"/>
  <c r="E224" i="66"/>
  <c r="A224" i="66"/>
  <c r="A272" i="66" s="1"/>
  <c r="E225" i="66"/>
  <c r="A225" i="66"/>
  <c r="A273" i="66" s="1"/>
  <c r="E226" i="66"/>
  <c r="A226" i="66"/>
  <c r="E227" i="66"/>
  <c r="A227" i="66"/>
  <c r="E230" i="66"/>
  <c r="A230" i="66"/>
  <c r="E231" i="66"/>
  <c r="A231" i="66"/>
  <c r="E232" i="66"/>
  <c r="A232" i="66"/>
  <c r="E233" i="66"/>
  <c r="A233" i="66"/>
  <c r="A281" i="66" s="1"/>
  <c r="E234" i="66"/>
  <c r="A234" i="66"/>
  <c r="E235" i="66"/>
  <c r="A235" i="66"/>
  <c r="E236" i="66"/>
  <c r="A236" i="66"/>
  <c r="E237" i="66"/>
  <c r="A237" i="66"/>
  <c r="E238" i="66"/>
  <c r="A238" i="66"/>
  <c r="E239" i="66"/>
  <c r="A239" i="66"/>
  <c r="A287" i="66" s="1"/>
  <c r="E240" i="66"/>
  <c r="A240" i="66"/>
  <c r="E241" i="66"/>
  <c r="A241" i="66"/>
  <c r="E242" i="66"/>
  <c r="A242" i="66"/>
  <c r="E243" i="66"/>
  <c r="A243" i="66"/>
  <c r="E265" i="66"/>
  <c r="E269" i="66"/>
  <c r="S7" i="66"/>
  <c r="S151" i="66"/>
  <c r="I7" i="66"/>
  <c r="I8" i="66"/>
  <c r="B243" i="66"/>
  <c r="B291" i="66" s="1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65" i="66"/>
  <c r="B113" i="66" s="1"/>
  <c r="B209" i="66"/>
  <c r="B257" i="66" s="1"/>
  <c r="B78" i="66"/>
  <c r="B126" i="66" s="1"/>
  <c r="B222" i="66"/>
  <c r="B270" i="66" s="1"/>
  <c r="B90" i="66"/>
  <c r="B138" i="66" s="1"/>
  <c r="B234" i="66"/>
  <c r="B282" i="66" s="1"/>
  <c r="B233" i="66"/>
  <c r="B281" i="66" s="1"/>
  <c r="B232" i="66"/>
  <c r="B280" i="66" s="1"/>
  <c r="B231" i="66"/>
  <c r="B279" i="66" s="1"/>
  <c r="B230" i="66"/>
  <c r="B278" i="66" s="1"/>
  <c r="B227" i="66"/>
  <c r="B275" i="66" s="1"/>
  <c r="B226" i="66"/>
  <c r="B274" i="66" s="1"/>
  <c r="B225" i="66"/>
  <c r="B273" i="66" s="1"/>
  <c r="B224" i="66"/>
  <c r="B272" i="66" s="1"/>
  <c r="B223" i="66"/>
  <c r="B271" i="66" s="1"/>
  <c r="B221" i="66"/>
  <c r="B269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8" i="66"/>
  <c r="B256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99" i="66"/>
  <c r="B147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89" i="66"/>
  <c r="B137" i="66" s="1"/>
  <c r="B88" i="66"/>
  <c r="B136" i="66" s="1"/>
  <c r="B87" i="66"/>
  <c r="B135" i="66" s="1"/>
  <c r="B86" i="66"/>
  <c r="B134" i="66" s="1"/>
  <c r="B83" i="66"/>
  <c r="B131" i="66" s="1"/>
  <c r="B82" i="66"/>
  <c r="B130" i="66" s="1"/>
  <c r="B81" i="66"/>
  <c r="B129" i="66" s="1"/>
  <c r="B80" i="66"/>
  <c r="B128" i="66" s="1"/>
  <c r="B79" i="66"/>
  <c r="B127" i="66" s="1"/>
  <c r="B77" i="66"/>
  <c r="B125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4" i="66"/>
  <c r="B112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F48" i="74" l="1"/>
  <c r="F42" i="74"/>
  <c r="F36" i="74"/>
  <c r="F30" i="74"/>
  <c r="F24" i="74"/>
  <c r="F18" i="74"/>
  <c r="F12" i="74"/>
  <c r="F47" i="74"/>
  <c r="F23" i="74"/>
  <c r="F22" i="74"/>
  <c r="F6" i="74"/>
  <c r="F41" i="74"/>
  <c r="F11" i="74"/>
  <c r="F28" i="74"/>
  <c r="F29" i="74"/>
  <c r="F40" i="74"/>
  <c r="F16" i="74"/>
  <c r="F4" i="74"/>
  <c r="F43" i="74"/>
  <c r="F13" i="74"/>
  <c r="F5" i="74"/>
  <c r="F34" i="74"/>
  <c r="F46" i="74"/>
  <c r="F10" i="74"/>
  <c r="AE1" i="74"/>
  <c r="F49" i="74"/>
  <c r="F19" i="74"/>
  <c r="F37" i="74"/>
  <c r="F51" i="74"/>
  <c r="F45" i="74"/>
  <c r="F39" i="74"/>
  <c r="F33" i="74"/>
  <c r="F27" i="74"/>
  <c r="F21" i="74"/>
  <c r="F15" i="74"/>
  <c r="F9" i="74"/>
  <c r="F50" i="74"/>
  <c r="F44" i="74"/>
  <c r="F38" i="74"/>
  <c r="F32" i="74"/>
  <c r="F26" i="74"/>
  <c r="F20" i="74"/>
  <c r="F14" i="74"/>
  <c r="F8" i="74"/>
  <c r="F25" i="74"/>
  <c r="F7" i="74"/>
  <c r="F35" i="74"/>
  <c r="F17" i="74"/>
  <c r="F31" i="74"/>
  <c r="D7" i="74"/>
  <c r="D48" i="74"/>
  <c r="D42" i="74"/>
  <c r="D36" i="74"/>
  <c r="D30" i="74"/>
  <c r="D24" i="74"/>
  <c r="P24" i="74" s="1"/>
  <c r="D18" i="74"/>
  <c r="P18" i="74" s="1"/>
  <c r="D12" i="74"/>
  <c r="D8" i="74"/>
  <c r="P8" i="74" s="1"/>
  <c r="D70" i="74"/>
  <c r="P70" i="74" s="1"/>
  <c r="D47" i="74"/>
  <c r="P47" i="74" s="1"/>
  <c r="D41" i="74"/>
  <c r="D35" i="74"/>
  <c r="D29" i="74"/>
  <c r="P29" i="74" s="1"/>
  <c r="D23" i="74"/>
  <c r="D17" i="74"/>
  <c r="D11" i="74"/>
  <c r="P11" i="74" s="1"/>
  <c r="D5" i="74"/>
  <c r="P5" i="74" s="1"/>
  <c r="D46" i="74"/>
  <c r="D40" i="74"/>
  <c r="P40" i="74" s="1"/>
  <c r="D34" i="74"/>
  <c r="P34" i="74" s="1"/>
  <c r="D28" i="74"/>
  <c r="D22" i="74"/>
  <c r="P22" i="74" s="1"/>
  <c r="D16" i="74"/>
  <c r="D10" i="74"/>
  <c r="D4" i="74"/>
  <c r="P4" i="74" s="1"/>
  <c r="D39" i="74"/>
  <c r="P39" i="74" s="1"/>
  <c r="D27" i="74"/>
  <c r="P27" i="74" s="1"/>
  <c r="D21" i="74"/>
  <c r="D9" i="74"/>
  <c r="D50" i="74"/>
  <c r="D32" i="74"/>
  <c r="D20" i="74"/>
  <c r="D51" i="74"/>
  <c r="P51" i="74" s="1"/>
  <c r="D45" i="74"/>
  <c r="D33" i="74"/>
  <c r="P33" i="74" s="1"/>
  <c r="D15" i="74"/>
  <c r="P15" i="74" s="1"/>
  <c r="D14" i="74"/>
  <c r="P14" i="74" s="1"/>
  <c r="D44" i="74"/>
  <c r="P44" i="74" s="1"/>
  <c r="D26" i="74"/>
  <c r="D49" i="74"/>
  <c r="D43" i="74"/>
  <c r="P43" i="74" s="1"/>
  <c r="D37" i="74"/>
  <c r="D31" i="74"/>
  <c r="P31" i="74" s="1"/>
  <c r="D25" i="74"/>
  <c r="P25" i="74" s="1"/>
  <c r="D19" i="74"/>
  <c r="P19" i="74" s="1"/>
  <c r="D13" i="74"/>
  <c r="P13" i="74" s="1"/>
  <c r="D6" i="74"/>
  <c r="D89" i="74"/>
  <c r="D84" i="74"/>
  <c r="D82" i="74"/>
  <c r="P82" i="74" s="1"/>
  <c r="D58" i="74"/>
  <c r="D76" i="74"/>
  <c r="D88" i="74"/>
  <c r="P88" i="74" s="1"/>
  <c r="D139" i="74"/>
  <c r="P139" i="74" s="1"/>
  <c r="D55" i="74"/>
  <c r="D97" i="74"/>
  <c r="D67" i="74"/>
  <c r="P67" i="74" s="1"/>
  <c r="D92" i="74"/>
  <c r="P92" i="74" s="1"/>
  <c r="D95" i="74"/>
  <c r="P95" i="74" s="1"/>
  <c r="D57" i="74"/>
  <c r="D75" i="74"/>
  <c r="P75" i="74" s="1"/>
  <c r="D81" i="74"/>
  <c r="P81" i="74" s="1"/>
  <c r="D91" i="74"/>
  <c r="P91" i="74" s="1"/>
  <c r="D74" i="74"/>
  <c r="D71" i="74"/>
  <c r="D136" i="74"/>
  <c r="P136" i="74" s="1"/>
  <c r="D73" i="74"/>
  <c r="P73" i="74" s="1"/>
  <c r="D87" i="74"/>
  <c r="P87" i="74" s="1"/>
  <c r="D98" i="74"/>
  <c r="D64" i="74"/>
  <c r="D93" i="74"/>
  <c r="D62" i="74"/>
  <c r="P62" i="74" s="1"/>
  <c r="D54" i="74"/>
  <c r="D52" i="74"/>
  <c r="P52" i="74" s="1"/>
  <c r="D66" i="74"/>
  <c r="P66" i="74" s="1"/>
  <c r="D99" i="74"/>
  <c r="P99" i="74" s="1"/>
  <c r="D130" i="74"/>
  <c r="P130" i="74" s="1"/>
  <c r="D77" i="74"/>
  <c r="P77" i="74" s="1"/>
  <c r="D121" i="74"/>
  <c r="P121" i="74" s="1"/>
  <c r="D80" i="74"/>
  <c r="D68" i="74"/>
  <c r="D60" i="74"/>
  <c r="D109" i="74"/>
  <c r="P109" i="74" s="1"/>
  <c r="D69" i="74"/>
  <c r="D65" i="74"/>
  <c r="D100" i="74"/>
  <c r="P100" i="74" s="1"/>
  <c r="D85" i="74"/>
  <c r="D78" i="74"/>
  <c r="D96" i="74"/>
  <c r="D53" i="74"/>
  <c r="P53" i="74" s="1"/>
  <c r="D61" i="74"/>
  <c r="P61" i="74" s="1"/>
  <c r="D56" i="74"/>
  <c r="P56" i="74" s="1"/>
  <c r="D72" i="74"/>
  <c r="P72" i="74" s="1"/>
  <c r="D63" i="74"/>
  <c r="P63" i="74" s="1"/>
  <c r="D83" i="74"/>
  <c r="D59" i="74"/>
  <c r="P59" i="74" s="1"/>
  <c r="D79" i="74"/>
  <c r="P79" i="74" s="1"/>
  <c r="D94" i="74"/>
  <c r="D90" i="74"/>
  <c r="D145" i="74"/>
  <c r="D103" i="74"/>
  <c r="D117" i="74"/>
  <c r="D111" i="74"/>
  <c r="P111" i="74" s="1"/>
  <c r="D147" i="74"/>
  <c r="P147" i="74" s="1"/>
  <c r="D112" i="74"/>
  <c r="D143" i="74"/>
  <c r="P143" i="74" s="1"/>
  <c r="D132" i="74"/>
  <c r="D116" i="74"/>
  <c r="D128" i="74"/>
  <c r="D144" i="74"/>
  <c r="D126" i="74"/>
  <c r="D118" i="74"/>
  <c r="P118" i="74" s="1"/>
  <c r="D102" i="74"/>
  <c r="D135" i="74"/>
  <c r="P135" i="74" s="1"/>
  <c r="D110" i="74"/>
  <c r="P110" i="74" s="1"/>
  <c r="D120" i="74"/>
  <c r="P120" i="74" s="1"/>
  <c r="D104" i="74"/>
  <c r="P104" i="74" s="1"/>
  <c r="D122" i="74"/>
  <c r="D127" i="74"/>
  <c r="P127" i="74" s="1"/>
  <c r="D114" i="74"/>
  <c r="P114" i="74" s="1"/>
  <c r="D108" i="74"/>
  <c r="D124" i="74"/>
  <c r="D101" i="74"/>
  <c r="P101" i="74" s="1"/>
  <c r="D131" i="74"/>
  <c r="D125" i="74"/>
  <c r="P125" i="74" s="1"/>
  <c r="D129" i="74"/>
  <c r="P129" i="74" s="1"/>
  <c r="D107" i="74"/>
  <c r="P107" i="74" s="1"/>
  <c r="D115" i="74"/>
  <c r="P115" i="74" s="1"/>
  <c r="D133" i="74"/>
  <c r="D105" i="74"/>
  <c r="D140" i="74"/>
  <c r="P140" i="74" s="1"/>
  <c r="D137" i="74"/>
  <c r="D138" i="74"/>
  <c r="D142" i="74"/>
  <c r="D106" i="74"/>
  <c r="D146" i="74"/>
  <c r="D141" i="74"/>
  <c r="D113" i="74"/>
  <c r="D123" i="74"/>
  <c r="P123" i="74" s="1"/>
  <c r="D119" i="74"/>
  <c r="F139" i="74"/>
  <c r="F127" i="74"/>
  <c r="F115" i="74"/>
  <c r="F103" i="74"/>
  <c r="F117" i="74"/>
  <c r="F138" i="74"/>
  <c r="F126" i="74"/>
  <c r="F114" i="74"/>
  <c r="F102" i="74"/>
  <c r="F137" i="74"/>
  <c r="F125" i="74"/>
  <c r="F113" i="74"/>
  <c r="F101" i="74"/>
  <c r="F141" i="74"/>
  <c r="F136" i="74"/>
  <c r="F124" i="74"/>
  <c r="F112" i="74"/>
  <c r="F100" i="74"/>
  <c r="F147" i="74"/>
  <c r="F135" i="74"/>
  <c r="F123" i="74"/>
  <c r="F111" i="74"/>
  <c r="F129" i="74"/>
  <c r="F146" i="74"/>
  <c r="F134" i="74"/>
  <c r="F122" i="74"/>
  <c r="F110" i="74"/>
  <c r="F145" i="74"/>
  <c r="F133" i="74"/>
  <c r="F121" i="74"/>
  <c r="F109" i="74"/>
  <c r="F144" i="74"/>
  <c r="F132" i="74"/>
  <c r="F120" i="74"/>
  <c r="F108" i="74"/>
  <c r="AE3" i="74"/>
  <c r="F143" i="74"/>
  <c r="F131" i="74"/>
  <c r="F119" i="74"/>
  <c r="F107" i="74"/>
  <c r="F142" i="74"/>
  <c r="F130" i="74"/>
  <c r="F118" i="74"/>
  <c r="F106" i="74"/>
  <c r="F140" i="74"/>
  <c r="F128" i="74"/>
  <c r="F116" i="74"/>
  <c r="F104" i="74"/>
  <c r="F105" i="74"/>
  <c r="F97" i="74"/>
  <c r="F94" i="74"/>
  <c r="F91" i="74"/>
  <c r="F88" i="74"/>
  <c r="F58" i="74"/>
  <c r="F56" i="74"/>
  <c r="F85" i="74"/>
  <c r="F82" i="74"/>
  <c r="F79" i="74"/>
  <c r="F76" i="74"/>
  <c r="F73" i="74"/>
  <c r="F70" i="74"/>
  <c r="F61" i="74"/>
  <c r="F62" i="74"/>
  <c r="F67" i="74"/>
  <c r="F55" i="74"/>
  <c r="F68" i="74"/>
  <c r="F59" i="74"/>
  <c r="F99" i="74"/>
  <c r="F96" i="74"/>
  <c r="F93" i="74"/>
  <c r="F90" i="74"/>
  <c r="F87" i="74"/>
  <c r="F65" i="74"/>
  <c r="F84" i="74"/>
  <c r="F81" i="74"/>
  <c r="F78" i="74"/>
  <c r="F75" i="74"/>
  <c r="F72" i="74"/>
  <c r="F69" i="74"/>
  <c r="F66" i="74"/>
  <c r="F63" i="74"/>
  <c r="F60" i="74"/>
  <c r="F57" i="74"/>
  <c r="F54" i="74"/>
  <c r="F53" i="74"/>
  <c r="F98" i="74"/>
  <c r="F95" i="74"/>
  <c r="F92" i="74"/>
  <c r="F89" i="74"/>
  <c r="AE2" i="74"/>
  <c r="F86" i="74"/>
  <c r="F83" i="74"/>
  <c r="F80" i="74"/>
  <c r="F77" i="74"/>
  <c r="F74" i="74"/>
  <c r="F71" i="74"/>
  <c r="F64" i="74"/>
  <c r="F52" i="74"/>
  <c r="P36" i="70"/>
  <c r="AD1" i="66"/>
  <c r="P38" i="70"/>
  <c r="AD3" i="66"/>
  <c r="P37" i="70"/>
  <c r="AD2" i="66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D38" i="74" s="1"/>
  <c r="P38" i="74" s="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S55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E279" i="66"/>
  <c r="E244" i="66"/>
  <c r="E130" i="66"/>
  <c r="D348" i="38"/>
  <c r="D43" i="38"/>
  <c r="E273" i="66"/>
  <c r="E126" i="66"/>
  <c r="D337" i="38"/>
  <c r="D230" i="38"/>
  <c r="E261" i="66"/>
  <c r="E114" i="66"/>
  <c r="C37" i="57"/>
  <c r="E4" i="17"/>
  <c r="D174" i="38"/>
  <c r="B28" i="63"/>
  <c r="E291" i="66"/>
  <c r="E257" i="66"/>
  <c r="E144" i="66"/>
  <c r="E110" i="66"/>
  <c r="C74" i="57"/>
  <c r="C36" i="57"/>
  <c r="D173" i="38"/>
  <c r="D48" i="26"/>
  <c r="J4" i="6"/>
  <c r="L11" i="39"/>
  <c r="E287" i="66"/>
  <c r="E253" i="66"/>
  <c r="E140" i="66"/>
  <c r="C73" i="57"/>
  <c r="G11" i="32"/>
  <c r="I4" i="20"/>
  <c r="E283" i="66"/>
  <c r="E136" i="66"/>
  <c r="E101" i="66"/>
  <c r="D349" i="38"/>
  <c r="A247" i="66"/>
  <c r="S247" i="66" s="1"/>
  <c r="I53" i="66"/>
  <c r="C99" i="66"/>
  <c r="P99" i="66" s="1"/>
  <c r="C93" i="66"/>
  <c r="C79" i="66"/>
  <c r="P79" i="66" s="1"/>
  <c r="C67" i="66"/>
  <c r="P67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6" i="66"/>
  <c r="P56" i="66" s="1"/>
  <c r="C97" i="66"/>
  <c r="C65" i="66"/>
  <c r="C236" i="66"/>
  <c r="P236" i="66" s="1"/>
  <c r="V236" i="66" s="1"/>
  <c r="C222" i="66"/>
  <c r="C216" i="66"/>
  <c r="P216" i="66" s="1"/>
  <c r="V216" i="66" s="1"/>
  <c r="C76" i="66"/>
  <c r="C55" i="66"/>
  <c r="C103" i="66"/>
  <c r="C81" i="66"/>
  <c r="P81" i="66" s="1"/>
  <c r="C75" i="66"/>
  <c r="P75" i="66" s="1"/>
  <c r="C240" i="66"/>
  <c r="C234" i="66"/>
  <c r="C226" i="66"/>
  <c r="P226" i="66" s="1"/>
  <c r="V226" i="66" s="1"/>
  <c r="C53" i="66"/>
  <c r="P53" i="66" s="1"/>
  <c r="C218" i="66"/>
  <c r="C94" i="66"/>
  <c r="B3" i="8"/>
  <c r="E180" i="66"/>
  <c r="E181" i="66"/>
  <c r="E36" i="66"/>
  <c r="E37" i="66"/>
  <c r="D401" i="38"/>
  <c r="D398" i="38"/>
  <c r="D3" i="8"/>
  <c r="E276" i="66"/>
  <c r="E277" i="66"/>
  <c r="D403" i="38"/>
  <c r="E132" i="66"/>
  <c r="E133" i="66"/>
  <c r="D400" i="38"/>
  <c r="C10" i="66"/>
  <c r="C22" i="66"/>
  <c r="P22" i="66" s="1"/>
  <c r="C34" i="66"/>
  <c r="P34" i="66" s="1"/>
  <c r="C46" i="66"/>
  <c r="C154" i="66"/>
  <c r="C166" i="66"/>
  <c r="P166" i="66" s="1"/>
  <c r="C178" i="66"/>
  <c r="P178" i="66" s="1"/>
  <c r="C192" i="66"/>
  <c r="C26" i="66"/>
  <c r="C4" i="66"/>
  <c r="P4" i="66" s="1"/>
  <c r="C180" i="66"/>
  <c r="C11" i="66"/>
  <c r="P11" i="66" s="1"/>
  <c r="C23" i="66"/>
  <c r="C35" i="66"/>
  <c r="C47" i="66"/>
  <c r="P47" i="66" s="1"/>
  <c r="C155" i="66"/>
  <c r="P155" i="66" s="1"/>
  <c r="C167" i="66"/>
  <c r="C179" i="66"/>
  <c r="C193" i="66"/>
  <c r="C170" i="66"/>
  <c r="C12" i="66"/>
  <c r="C24" i="66"/>
  <c r="P24" i="66" s="1"/>
  <c r="C36" i="66"/>
  <c r="C48" i="66"/>
  <c r="C156" i="66"/>
  <c r="C168" i="66"/>
  <c r="P168" i="66" s="1"/>
  <c r="C194" i="66"/>
  <c r="C50" i="66"/>
  <c r="C184" i="66"/>
  <c r="P184" i="66" s="1"/>
  <c r="C13" i="66"/>
  <c r="P13" i="66" s="1"/>
  <c r="C25" i="66"/>
  <c r="P25" i="66" s="1"/>
  <c r="C37" i="66"/>
  <c r="C49" i="66"/>
  <c r="C157" i="66"/>
  <c r="P157" i="66" s="1"/>
  <c r="C169" i="66"/>
  <c r="P169" i="66" s="1"/>
  <c r="C183" i="66"/>
  <c r="P183" i="66" s="1"/>
  <c r="C195" i="66"/>
  <c r="P195" i="66" s="1"/>
  <c r="C14" i="66"/>
  <c r="P14" i="66" s="1"/>
  <c r="C158" i="66"/>
  <c r="P158" i="66" s="1"/>
  <c r="C181" i="66"/>
  <c r="C15" i="66"/>
  <c r="P15" i="66" s="1"/>
  <c r="C27" i="66"/>
  <c r="P27" i="66" s="1"/>
  <c r="C39" i="66"/>
  <c r="P39" i="66" s="1"/>
  <c r="C51" i="66"/>
  <c r="P51" i="66" s="1"/>
  <c r="C159" i="66"/>
  <c r="P159" i="66" s="1"/>
  <c r="C171" i="66"/>
  <c r="P171" i="66" s="1"/>
  <c r="C185" i="66"/>
  <c r="C152" i="66"/>
  <c r="P152" i="66" s="1"/>
  <c r="V152" i="66" s="1"/>
  <c r="C45" i="66"/>
  <c r="C16" i="66"/>
  <c r="C28" i="66"/>
  <c r="C40" i="66"/>
  <c r="P40" i="66" s="1"/>
  <c r="C148" i="66"/>
  <c r="P148" i="66" s="1"/>
  <c r="C160" i="66"/>
  <c r="C172" i="66"/>
  <c r="C186" i="66"/>
  <c r="C32" i="66"/>
  <c r="C21" i="66"/>
  <c r="C191" i="66"/>
  <c r="P191" i="66" s="1"/>
  <c r="C5" i="66"/>
  <c r="P5" i="66" s="1"/>
  <c r="C17" i="66"/>
  <c r="C29" i="66"/>
  <c r="P29" i="66" s="1"/>
  <c r="C41" i="66"/>
  <c r="C149" i="66"/>
  <c r="P149" i="66" s="1"/>
  <c r="C161" i="66"/>
  <c r="C173" i="66"/>
  <c r="P173" i="66" s="1"/>
  <c r="C187" i="66"/>
  <c r="P187" i="66" s="1"/>
  <c r="C44" i="66"/>
  <c r="P44" i="66" s="1"/>
  <c r="C190" i="66"/>
  <c r="C153" i="66"/>
  <c r="C228" i="66"/>
  <c r="C6" i="66"/>
  <c r="C18" i="66"/>
  <c r="P18" i="66" s="1"/>
  <c r="C30" i="66"/>
  <c r="C42" i="66"/>
  <c r="C150" i="66"/>
  <c r="C162" i="66"/>
  <c r="P162" i="66" s="1"/>
  <c r="C174" i="66"/>
  <c r="C188" i="66"/>
  <c r="P188" i="66" s="1"/>
  <c r="C20" i="66"/>
  <c r="C176" i="66"/>
  <c r="C33" i="66"/>
  <c r="P33" i="66" s="1"/>
  <c r="C177" i="66"/>
  <c r="P177" i="66" s="1"/>
  <c r="C7" i="66"/>
  <c r="C19" i="66"/>
  <c r="P19" i="66" s="1"/>
  <c r="C31" i="66"/>
  <c r="P31" i="66" s="1"/>
  <c r="C43" i="66"/>
  <c r="P43" i="66" s="1"/>
  <c r="C151" i="66"/>
  <c r="C163" i="66"/>
  <c r="P163" i="66" s="1"/>
  <c r="C175" i="66"/>
  <c r="P175" i="66" s="1"/>
  <c r="C189" i="66"/>
  <c r="C164" i="66"/>
  <c r="C165" i="66"/>
  <c r="C8" i="66"/>
  <c r="P8" i="66" s="1"/>
  <c r="C9" i="66"/>
  <c r="C85" i="66"/>
  <c r="C276" i="66"/>
  <c r="C229" i="66"/>
  <c r="C84" i="66"/>
  <c r="C277" i="66"/>
  <c r="C133" i="66"/>
  <c r="C132" i="66"/>
  <c r="C3" i="8"/>
  <c r="E229" i="66"/>
  <c r="D402" i="38"/>
  <c r="E228" i="66"/>
  <c r="E84" i="66"/>
  <c r="D399" i="38"/>
  <c r="E85" i="66"/>
  <c r="A11" i="53"/>
  <c r="A17" i="53" s="1"/>
  <c r="I56" i="66"/>
  <c r="I52" i="66"/>
  <c r="A104" i="66"/>
  <c r="I104" i="66" s="1"/>
  <c r="A100" i="66"/>
  <c r="I100" i="66" s="1"/>
  <c r="I137" i="66"/>
  <c r="C137" i="66"/>
  <c r="I131" i="66"/>
  <c r="C131" i="66"/>
  <c r="I130" i="66"/>
  <c r="C130" i="66"/>
  <c r="P130" i="66" s="1"/>
  <c r="I257" i="66"/>
  <c r="C257" i="66"/>
  <c r="I73" i="66"/>
  <c r="C73" i="66"/>
  <c r="P73" i="66" s="1"/>
  <c r="I261" i="66"/>
  <c r="C261" i="66"/>
  <c r="I244" i="66"/>
  <c r="C244" i="66"/>
  <c r="P244" i="66" s="1"/>
  <c r="I238" i="66"/>
  <c r="C238" i="66"/>
  <c r="I232" i="66"/>
  <c r="C232" i="66"/>
  <c r="P232" i="66" s="1"/>
  <c r="I224" i="66"/>
  <c r="C224" i="66"/>
  <c r="A260" i="66"/>
  <c r="C260" i="66" s="1"/>
  <c r="C212" i="66"/>
  <c r="I196" i="66"/>
  <c r="C196" i="66"/>
  <c r="P196" i="66" s="1"/>
  <c r="I114" i="66"/>
  <c r="C114" i="66"/>
  <c r="P114" i="66" s="1"/>
  <c r="I61" i="66"/>
  <c r="C61" i="66"/>
  <c r="P61" i="66" s="1"/>
  <c r="A286" i="66"/>
  <c r="I98" i="66"/>
  <c r="C98" i="66"/>
  <c r="I92" i="66"/>
  <c r="C92" i="66"/>
  <c r="P92" i="66" s="1"/>
  <c r="I86" i="66"/>
  <c r="I78" i="66"/>
  <c r="C78" i="66"/>
  <c r="I72" i="66"/>
  <c r="C72" i="66"/>
  <c r="P72" i="66" s="1"/>
  <c r="I66" i="66"/>
  <c r="C66" i="66"/>
  <c r="P66" i="66" s="1"/>
  <c r="I60" i="66"/>
  <c r="C60" i="66"/>
  <c r="I199" i="66"/>
  <c r="C199" i="66"/>
  <c r="C52" i="66"/>
  <c r="P52" i="66" s="1"/>
  <c r="I206" i="66"/>
  <c r="C206" i="66"/>
  <c r="P206" i="66" s="1"/>
  <c r="I243" i="66"/>
  <c r="C243" i="66"/>
  <c r="P243" i="66" s="1"/>
  <c r="I237" i="66"/>
  <c r="C237" i="66"/>
  <c r="I231" i="66"/>
  <c r="C231" i="66"/>
  <c r="P231" i="66" s="1"/>
  <c r="I223" i="66"/>
  <c r="C223" i="66"/>
  <c r="P223" i="66" s="1"/>
  <c r="V223" i="66" s="1"/>
  <c r="I217" i="66"/>
  <c r="C217" i="66"/>
  <c r="P217" i="66" s="1"/>
  <c r="I211" i="66"/>
  <c r="C211" i="66"/>
  <c r="P211" i="66" s="1"/>
  <c r="V211" i="66" s="1"/>
  <c r="I205" i="66"/>
  <c r="C205" i="66"/>
  <c r="P205" i="66" s="1"/>
  <c r="I146" i="66"/>
  <c r="C146" i="66"/>
  <c r="I59" i="66"/>
  <c r="C59" i="66"/>
  <c r="P59" i="66" s="1"/>
  <c r="I281" i="66"/>
  <c r="C281" i="66"/>
  <c r="I144" i="66"/>
  <c r="C144" i="66"/>
  <c r="I126" i="66"/>
  <c r="C126" i="66"/>
  <c r="I109" i="66"/>
  <c r="C109" i="66"/>
  <c r="P109" i="66" s="1"/>
  <c r="V109" i="66" s="1"/>
  <c r="I91" i="66"/>
  <c r="C91" i="66"/>
  <c r="P91" i="66" s="1"/>
  <c r="I83" i="66"/>
  <c r="C83" i="66"/>
  <c r="I77" i="66"/>
  <c r="C77" i="66"/>
  <c r="P77" i="66" s="1"/>
  <c r="I71" i="66"/>
  <c r="C71" i="66"/>
  <c r="I202" i="66"/>
  <c r="C202" i="66"/>
  <c r="I55" i="66"/>
  <c r="I95" i="66"/>
  <c r="C95" i="66"/>
  <c r="P95" i="66" s="1"/>
  <c r="I256" i="66"/>
  <c r="C256" i="66"/>
  <c r="I242" i="66"/>
  <c r="C242" i="66"/>
  <c r="I210" i="66"/>
  <c r="C210" i="66"/>
  <c r="P210" i="66" s="1"/>
  <c r="I204" i="66"/>
  <c r="C204" i="66"/>
  <c r="I106" i="66"/>
  <c r="C106" i="66"/>
  <c r="I230" i="66"/>
  <c r="I273" i="66"/>
  <c r="C273" i="66"/>
  <c r="P273" i="66" s="1"/>
  <c r="I253" i="66"/>
  <c r="C253" i="66"/>
  <c r="P253" i="66" s="1"/>
  <c r="I140" i="66"/>
  <c r="C140" i="66"/>
  <c r="P140" i="66" s="1"/>
  <c r="I125" i="66"/>
  <c r="C125" i="66"/>
  <c r="P125" i="66" s="1"/>
  <c r="I96" i="66"/>
  <c r="C96" i="66"/>
  <c r="I90" i="66"/>
  <c r="C90" i="66"/>
  <c r="I82" i="66"/>
  <c r="C82" i="66"/>
  <c r="P82" i="66" s="1"/>
  <c r="I70" i="66"/>
  <c r="C70" i="66"/>
  <c r="P70" i="66" s="1"/>
  <c r="I64" i="66"/>
  <c r="C64" i="66"/>
  <c r="I58" i="66"/>
  <c r="C58" i="66"/>
  <c r="I241" i="66"/>
  <c r="C241" i="66"/>
  <c r="I235" i="66"/>
  <c r="C235" i="66"/>
  <c r="P235" i="66" s="1"/>
  <c r="I227" i="66"/>
  <c r="C227" i="66"/>
  <c r="I221" i="66"/>
  <c r="C221" i="66"/>
  <c r="P221" i="66" s="1"/>
  <c r="I215" i="66"/>
  <c r="C215" i="66"/>
  <c r="I209" i="66"/>
  <c r="C209" i="66"/>
  <c r="I203" i="66"/>
  <c r="C203" i="66"/>
  <c r="P203" i="66" s="1"/>
  <c r="I122" i="66"/>
  <c r="C122" i="66"/>
  <c r="I198" i="66"/>
  <c r="C198" i="66"/>
  <c r="I272" i="66"/>
  <c r="C272" i="66"/>
  <c r="I139" i="66"/>
  <c r="C139" i="66"/>
  <c r="P139" i="66" s="1"/>
  <c r="I69" i="66"/>
  <c r="C69" i="66"/>
  <c r="A111" i="66"/>
  <c r="C63" i="66"/>
  <c r="P63" i="66" s="1"/>
  <c r="I201" i="66"/>
  <c r="C201" i="66"/>
  <c r="I220" i="66"/>
  <c r="C220" i="66"/>
  <c r="I214" i="66"/>
  <c r="C214" i="66"/>
  <c r="P214" i="66" s="1"/>
  <c r="I208" i="66"/>
  <c r="C208" i="66"/>
  <c r="I200" i="66"/>
  <c r="C200" i="66"/>
  <c r="P200" i="66" s="1"/>
  <c r="A138" i="66"/>
  <c r="I120" i="66"/>
  <c r="C120" i="66"/>
  <c r="P120" i="66" s="1"/>
  <c r="I101" i="66"/>
  <c r="C101" i="66"/>
  <c r="P101" i="66" s="1"/>
  <c r="I54" i="66"/>
  <c r="C54" i="66"/>
  <c r="I88" i="66"/>
  <c r="C88" i="66"/>
  <c r="P88" i="66" s="1"/>
  <c r="I80" i="66"/>
  <c r="C80" i="66"/>
  <c r="I74" i="66"/>
  <c r="C74" i="66"/>
  <c r="A116" i="66"/>
  <c r="C116" i="66" s="1"/>
  <c r="C68" i="66"/>
  <c r="A105" i="66"/>
  <c r="C57" i="66"/>
  <c r="I251" i="66"/>
  <c r="C251" i="66"/>
  <c r="P251" i="66" s="1"/>
  <c r="I102" i="66"/>
  <c r="C102" i="66"/>
  <c r="I269" i="66"/>
  <c r="C269" i="66"/>
  <c r="P269" i="66" s="1"/>
  <c r="I250" i="66"/>
  <c r="C250" i="66"/>
  <c r="I249" i="66"/>
  <c r="C249" i="66"/>
  <c r="A119" i="66"/>
  <c r="I267" i="66"/>
  <c r="C267" i="66"/>
  <c r="P267" i="66" s="1"/>
  <c r="C247" i="66"/>
  <c r="I239" i="66"/>
  <c r="C239" i="66"/>
  <c r="P239" i="66" s="1"/>
  <c r="V239" i="66" s="1"/>
  <c r="I233" i="66"/>
  <c r="C233" i="66"/>
  <c r="I225" i="66"/>
  <c r="C225" i="66"/>
  <c r="P225" i="66" s="1"/>
  <c r="I219" i="66"/>
  <c r="C219" i="66"/>
  <c r="P219" i="66" s="1"/>
  <c r="I213" i="66"/>
  <c r="C213" i="66"/>
  <c r="I207" i="66"/>
  <c r="C207" i="66"/>
  <c r="P207" i="66" s="1"/>
  <c r="I197" i="66"/>
  <c r="C197" i="66"/>
  <c r="P197" i="66" s="1"/>
  <c r="I89" i="66"/>
  <c r="C89" i="66"/>
  <c r="I287" i="66"/>
  <c r="C287" i="66"/>
  <c r="P287" i="66" s="1"/>
  <c r="I245" i="66"/>
  <c r="C245" i="66"/>
  <c r="P245" i="66" s="1"/>
  <c r="I134" i="66"/>
  <c r="I117" i="66"/>
  <c r="C117" i="66"/>
  <c r="I62" i="66"/>
  <c r="C62" i="66"/>
  <c r="P62" i="66" s="1"/>
  <c r="I87" i="66"/>
  <c r="C87" i="66"/>
  <c r="P87" i="66" s="1"/>
  <c r="A279" i="66"/>
  <c r="A259" i="66"/>
  <c r="A283" i="66"/>
  <c r="A263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4" i="66"/>
  <c r="I236" i="66"/>
  <c r="A264" i="66"/>
  <c r="I216" i="66"/>
  <c r="A127" i="66"/>
  <c r="I79" i="66"/>
  <c r="A285" i="66"/>
  <c r="A268" i="66"/>
  <c r="A143" i="66"/>
  <c r="A128" i="66"/>
  <c r="A147" i="66"/>
  <c r="I99" i="66"/>
  <c r="F47" i="39"/>
  <c r="A252" i="66"/>
  <c r="A110" i="66"/>
  <c r="A265" i="66"/>
  <c r="A270" i="66"/>
  <c r="I222" i="66"/>
  <c r="A141" i="66"/>
  <c r="I93" i="66"/>
  <c r="A115" i="66"/>
  <c r="I67" i="66"/>
  <c r="A288" i="66"/>
  <c r="I240" i="66"/>
  <c r="A282" i="66"/>
  <c r="I234" i="66"/>
  <c r="A274" i="66"/>
  <c r="I226" i="66"/>
  <c r="A145" i="66"/>
  <c r="I97" i="66"/>
  <c r="A113" i="66"/>
  <c r="I65" i="66"/>
  <c r="D25" i="6"/>
  <c r="O25" i="39"/>
  <c r="A124" i="66"/>
  <c r="I76" i="66"/>
  <c r="D23" i="6"/>
  <c r="C26" i="6"/>
  <c r="B24" i="6"/>
  <c r="A291" i="66"/>
  <c r="A278" i="66"/>
  <c r="A121" i="66"/>
  <c r="S103" i="66"/>
  <c r="I103" i="66"/>
  <c r="C25" i="6"/>
  <c r="B23" i="6"/>
  <c r="N29" i="39"/>
  <c r="A266" i="66"/>
  <c r="I218" i="66"/>
  <c r="A135" i="66"/>
  <c r="A129" i="66"/>
  <c r="I81" i="66"/>
  <c r="A123" i="66"/>
  <c r="I75" i="66"/>
  <c r="D20" i="6"/>
  <c r="C24" i="6"/>
  <c r="A290" i="66"/>
  <c r="A142" i="66"/>
  <c r="I94" i="66"/>
  <c r="I57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80" i="66"/>
  <c r="A262" i="66"/>
  <c r="I63" i="66"/>
  <c r="A108" i="66"/>
  <c r="O22" i="39"/>
  <c r="P28" i="39"/>
  <c r="Q28" i="39" s="1"/>
  <c r="A255" i="66"/>
  <c r="B22" i="6"/>
  <c r="C53" i="39"/>
  <c r="O21" i="39"/>
  <c r="A289" i="66"/>
  <c r="A271" i="66"/>
  <c r="A136" i="66"/>
  <c r="A118" i="66"/>
  <c r="G118" i="66" s="1"/>
  <c r="A107" i="66"/>
  <c r="C20" i="6"/>
  <c r="A254" i="66"/>
  <c r="A112" i="66"/>
  <c r="A248" i="66"/>
  <c r="F46" i="39"/>
  <c r="A275" i="66"/>
  <c r="A258" i="66"/>
  <c r="D22" i="6"/>
  <c r="A246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E249" i="66"/>
  <c r="E106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E248" i="66"/>
  <c r="E105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E260" i="66"/>
  <c r="E256" i="66"/>
  <c r="E252" i="66"/>
  <c r="E113" i="66"/>
  <c r="E109" i="66"/>
  <c r="E100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E290" i="66"/>
  <c r="E286" i="66"/>
  <c r="E282" i="66"/>
  <c r="E278" i="66"/>
  <c r="E272" i="66"/>
  <c r="E268" i="66"/>
  <c r="E264" i="66"/>
  <c r="E247" i="66"/>
  <c r="E147" i="66"/>
  <c r="E143" i="66"/>
  <c r="E139" i="66"/>
  <c r="E135" i="66"/>
  <c r="E129" i="66"/>
  <c r="E125" i="66"/>
  <c r="E121" i="66"/>
  <c r="E117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E104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E259" i="66"/>
  <c r="E255" i="66"/>
  <c r="E251" i="66"/>
  <c r="E116" i="66"/>
  <c r="E112" i="66"/>
  <c r="E108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E289" i="66"/>
  <c r="E285" i="66"/>
  <c r="E281" i="66"/>
  <c r="E275" i="66"/>
  <c r="E271" i="66"/>
  <c r="E267" i="66"/>
  <c r="E263" i="66"/>
  <c r="E246" i="66"/>
  <c r="E146" i="66"/>
  <c r="E142" i="66"/>
  <c r="E138" i="66"/>
  <c r="E134" i="66"/>
  <c r="E128" i="66"/>
  <c r="E124" i="66"/>
  <c r="E120" i="66"/>
  <c r="E103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E102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E258" i="66"/>
  <c r="E254" i="66"/>
  <c r="E115" i="66"/>
  <c r="E111" i="66"/>
  <c r="E107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E288" i="66"/>
  <c r="E284" i="66"/>
  <c r="E280" i="66"/>
  <c r="E274" i="66"/>
  <c r="E270" i="66"/>
  <c r="E266" i="66"/>
  <c r="E262" i="66"/>
  <c r="E245" i="66"/>
  <c r="E145" i="66"/>
  <c r="E141" i="66"/>
  <c r="E137" i="66"/>
  <c r="E131" i="66"/>
  <c r="E127" i="66"/>
  <c r="E123" i="66"/>
  <c r="E119" i="66"/>
  <c r="E250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E10" i="66"/>
  <c r="E41" i="66"/>
  <c r="E209" i="18"/>
  <c r="C13" i="53"/>
  <c r="D141" i="38"/>
  <c r="D199" i="38"/>
  <c r="D98" i="35"/>
  <c r="D50" i="35"/>
  <c r="E194" i="66"/>
  <c r="E462" i="18"/>
  <c r="D373" i="38"/>
  <c r="D140" i="38"/>
  <c r="E8" i="66"/>
  <c r="E167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E188" i="66"/>
  <c r="C51" i="22"/>
  <c r="C47" i="57"/>
  <c r="D11" i="35"/>
  <c r="D87" i="35"/>
  <c r="D54" i="35"/>
  <c r="R5" i="20"/>
  <c r="E40" i="66"/>
  <c r="E173" i="66"/>
  <c r="E39" i="66"/>
  <c r="D292" i="38"/>
  <c r="D244" i="38"/>
  <c r="D150" i="38"/>
  <c r="E25" i="66"/>
  <c r="C12" i="57"/>
  <c r="D354" i="38"/>
  <c r="D291" i="38"/>
  <c r="D243" i="38"/>
  <c r="D149" i="38"/>
  <c r="D5" i="38"/>
  <c r="C11" i="39"/>
  <c r="D30" i="22"/>
  <c r="E160" i="66"/>
  <c r="E24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E185" i="66"/>
  <c r="E11" i="66"/>
  <c r="E26" i="66"/>
  <c r="E42" i="66"/>
  <c r="E155" i="66"/>
  <c r="E161" i="66"/>
  <c r="E182" i="66"/>
  <c r="E195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E6" i="66"/>
  <c r="E12" i="66"/>
  <c r="E27" i="66"/>
  <c r="E43" i="66"/>
  <c r="E168" i="66"/>
  <c r="E174" i="66"/>
  <c r="E189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E150" i="66"/>
  <c r="E13" i="66"/>
  <c r="E28" i="66"/>
  <c r="E44" i="66"/>
  <c r="E148" i="66"/>
  <c r="E156" i="66"/>
  <c r="E162" i="66"/>
  <c r="E183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E9" i="66"/>
  <c r="E14" i="66"/>
  <c r="E29" i="66"/>
  <c r="E46" i="66"/>
  <c r="E154" i="66"/>
  <c r="E169" i="66"/>
  <c r="E175" i="66"/>
  <c r="E190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E21" i="66"/>
  <c r="E15" i="66"/>
  <c r="E30" i="66"/>
  <c r="E47" i="66"/>
  <c r="E149" i="66"/>
  <c r="E157" i="66"/>
  <c r="E163" i="66"/>
  <c r="E184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E23" i="66"/>
  <c r="E16" i="66"/>
  <c r="E31" i="66"/>
  <c r="E48" i="66"/>
  <c r="E170" i="66"/>
  <c r="E176" i="66"/>
  <c r="E191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E20" i="66"/>
  <c r="E45" i="66"/>
  <c r="E17" i="66"/>
  <c r="E32" i="66"/>
  <c r="E49" i="66"/>
  <c r="E158" i="66"/>
  <c r="E164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E35" i="66"/>
  <c r="E4" i="66"/>
  <c r="E18" i="66"/>
  <c r="E33" i="66"/>
  <c r="E51" i="66"/>
  <c r="E151" i="66"/>
  <c r="E165" i="66"/>
  <c r="E171" i="66"/>
  <c r="E177" i="66"/>
  <c r="E186" i="66"/>
  <c r="E192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E50" i="66"/>
  <c r="E5" i="66"/>
  <c r="E19" i="66"/>
  <c r="E34" i="66"/>
  <c r="E152" i="66"/>
  <c r="E159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E179" i="66"/>
  <c r="E7" i="66"/>
  <c r="E22" i="66"/>
  <c r="E38" i="66"/>
  <c r="E153" i="66"/>
  <c r="E166" i="66"/>
  <c r="E172" i="66"/>
  <c r="E178" i="66"/>
  <c r="E187" i="66"/>
  <c r="E193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G214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G64" i="66"/>
  <c r="F8" i="41"/>
  <c r="G97" i="66"/>
  <c r="G75" i="66"/>
  <c r="A19" i="8"/>
  <c r="C203" i="38"/>
  <c r="O44" i="39"/>
  <c r="G70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G241" i="66"/>
  <c r="G219" i="66"/>
  <c r="G208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6" i="70"/>
  <c r="Q37" i="70"/>
  <c r="Q38" i="70"/>
  <c r="D86" i="74" l="1"/>
  <c r="P86" i="74" s="1"/>
  <c r="V86" i="74" s="1"/>
  <c r="R38" i="74"/>
  <c r="V38" i="74"/>
  <c r="I74" i="74"/>
  <c r="I57" i="74"/>
  <c r="I90" i="74"/>
  <c r="I76" i="74"/>
  <c r="I125" i="74"/>
  <c r="V123" i="74"/>
  <c r="R123" i="74"/>
  <c r="R115" i="74"/>
  <c r="V115" i="74"/>
  <c r="R120" i="74"/>
  <c r="V120" i="74"/>
  <c r="V147" i="74"/>
  <c r="R147" i="74"/>
  <c r="V56" i="74"/>
  <c r="R56" i="74"/>
  <c r="V67" i="74"/>
  <c r="R67" i="74"/>
  <c r="R19" i="74"/>
  <c r="V19" i="74"/>
  <c r="R22" i="74"/>
  <c r="V22" i="74"/>
  <c r="V47" i="74"/>
  <c r="R47" i="74"/>
  <c r="I17" i="74"/>
  <c r="I9" i="74"/>
  <c r="I10" i="74"/>
  <c r="I41" i="74"/>
  <c r="D134" i="74"/>
  <c r="P134" i="74" s="1"/>
  <c r="R51" i="74"/>
  <c r="V51" i="74"/>
  <c r="I80" i="74"/>
  <c r="I63" i="74"/>
  <c r="I96" i="74"/>
  <c r="I82" i="74"/>
  <c r="I132" i="74"/>
  <c r="V129" i="74"/>
  <c r="R129" i="74"/>
  <c r="R135" i="74"/>
  <c r="V135" i="74"/>
  <c r="V53" i="74"/>
  <c r="R53" i="74"/>
  <c r="R73" i="74"/>
  <c r="V73" i="74"/>
  <c r="V31" i="74"/>
  <c r="R31" i="74"/>
  <c r="R34" i="74"/>
  <c r="V34" i="74"/>
  <c r="V8" i="74"/>
  <c r="R8" i="74"/>
  <c r="I7" i="74"/>
  <c r="I21" i="74"/>
  <c r="I34" i="74"/>
  <c r="I22" i="74"/>
  <c r="I60" i="74"/>
  <c r="I83" i="74"/>
  <c r="I66" i="74"/>
  <c r="I99" i="74"/>
  <c r="I85" i="74"/>
  <c r="I106" i="74"/>
  <c r="V125" i="74"/>
  <c r="R125" i="74"/>
  <c r="R77" i="74"/>
  <c r="V77" i="74"/>
  <c r="V136" i="74"/>
  <c r="R136" i="74"/>
  <c r="V139" i="74"/>
  <c r="R139" i="74"/>
  <c r="V40" i="74"/>
  <c r="R40" i="74"/>
  <c r="I25" i="74"/>
  <c r="I27" i="74"/>
  <c r="I5" i="74"/>
  <c r="I23" i="74"/>
  <c r="V107" i="74"/>
  <c r="R107" i="74"/>
  <c r="V25" i="74"/>
  <c r="R25" i="74"/>
  <c r="I86" i="74"/>
  <c r="I69" i="74"/>
  <c r="I59" i="74"/>
  <c r="I56" i="74"/>
  <c r="I109" i="74"/>
  <c r="R118" i="74"/>
  <c r="V118" i="74"/>
  <c r="V130" i="74"/>
  <c r="R130" i="74"/>
  <c r="V88" i="74"/>
  <c r="R88" i="74"/>
  <c r="V43" i="74"/>
  <c r="R43" i="74"/>
  <c r="R18" i="74"/>
  <c r="V18" i="74"/>
  <c r="I8" i="74"/>
  <c r="I33" i="74"/>
  <c r="I13" i="74"/>
  <c r="I47" i="74"/>
  <c r="I72" i="74"/>
  <c r="I58" i="74"/>
  <c r="I100" i="74"/>
  <c r="V101" i="74"/>
  <c r="R101" i="74"/>
  <c r="V99" i="74"/>
  <c r="R99" i="74"/>
  <c r="V5" i="74"/>
  <c r="R5" i="74"/>
  <c r="R24" i="74"/>
  <c r="V24" i="74"/>
  <c r="I14" i="74"/>
  <c r="I39" i="74"/>
  <c r="I43" i="74"/>
  <c r="I12" i="74"/>
  <c r="I79" i="74"/>
  <c r="R110" i="74"/>
  <c r="V110" i="74"/>
  <c r="I6" i="74"/>
  <c r="I89" i="74"/>
  <c r="G75" i="74"/>
  <c r="I75" i="74"/>
  <c r="I55" i="74"/>
  <c r="I88" i="74"/>
  <c r="I133" i="74"/>
  <c r="I117" i="74"/>
  <c r="R100" i="74"/>
  <c r="V100" i="74"/>
  <c r="R66" i="74"/>
  <c r="V66" i="74"/>
  <c r="R91" i="74"/>
  <c r="V91" i="74"/>
  <c r="R11" i="74"/>
  <c r="V11" i="74"/>
  <c r="I45" i="74"/>
  <c r="I4" i="74"/>
  <c r="I18" i="74"/>
  <c r="V61" i="74"/>
  <c r="R61" i="74"/>
  <c r="I15" i="74"/>
  <c r="I92" i="74"/>
  <c r="I78" i="74"/>
  <c r="I67" i="74"/>
  <c r="I91" i="74"/>
  <c r="R79" i="74"/>
  <c r="V79" i="74"/>
  <c r="R52" i="74"/>
  <c r="V52" i="74"/>
  <c r="R81" i="74"/>
  <c r="V81" i="74"/>
  <c r="R82" i="74"/>
  <c r="V82" i="74"/>
  <c r="R44" i="74"/>
  <c r="V44" i="74"/>
  <c r="R27" i="74"/>
  <c r="V27" i="74"/>
  <c r="I26" i="74"/>
  <c r="I51" i="74"/>
  <c r="I16" i="74"/>
  <c r="I24" i="74"/>
  <c r="V87" i="74"/>
  <c r="R87" i="74"/>
  <c r="I95" i="74"/>
  <c r="I81" i="74"/>
  <c r="I62" i="74"/>
  <c r="I94" i="74"/>
  <c r="V114" i="74"/>
  <c r="R114" i="74"/>
  <c r="V59" i="74"/>
  <c r="R59" i="74"/>
  <c r="V75" i="74"/>
  <c r="R75" i="74"/>
  <c r="R14" i="74"/>
  <c r="V14" i="74"/>
  <c r="V39" i="74"/>
  <c r="R39" i="74"/>
  <c r="I32" i="74"/>
  <c r="I37" i="74"/>
  <c r="I40" i="74"/>
  <c r="I30" i="74"/>
  <c r="I93" i="74"/>
  <c r="I137" i="74"/>
  <c r="V70" i="74"/>
  <c r="R70" i="74"/>
  <c r="I52" i="74"/>
  <c r="I98" i="74"/>
  <c r="I84" i="74"/>
  <c r="I61" i="74"/>
  <c r="I97" i="74"/>
  <c r="G97" i="74"/>
  <c r="V140" i="74"/>
  <c r="R140" i="74"/>
  <c r="V127" i="74"/>
  <c r="R127" i="74"/>
  <c r="V109" i="74"/>
  <c r="R109" i="74"/>
  <c r="V62" i="74"/>
  <c r="R62" i="74"/>
  <c r="R4" i="74"/>
  <c r="V4" i="74"/>
  <c r="R29" i="74"/>
  <c r="V29" i="74"/>
  <c r="I38" i="74"/>
  <c r="I19" i="74"/>
  <c r="I29" i="74"/>
  <c r="I36" i="74"/>
  <c r="V121" i="74"/>
  <c r="R121" i="74"/>
  <c r="I35" i="74"/>
  <c r="I64" i="74"/>
  <c r="G64" i="74"/>
  <c r="I53" i="74"/>
  <c r="I65" i="74"/>
  <c r="G70" i="74"/>
  <c r="I70" i="74"/>
  <c r="I101" i="74"/>
  <c r="V143" i="74"/>
  <c r="R143" i="74"/>
  <c r="R63" i="74"/>
  <c r="V63" i="74"/>
  <c r="V95" i="74"/>
  <c r="R95" i="74"/>
  <c r="R15" i="74"/>
  <c r="V15" i="74"/>
  <c r="I44" i="74"/>
  <c r="I49" i="74"/>
  <c r="I28" i="74"/>
  <c r="I42" i="74"/>
  <c r="I77" i="74"/>
  <c r="R111" i="74"/>
  <c r="V111" i="74"/>
  <c r="I46" i="74"/>
  <c r="I71" i="74"/>
  <c r="I54" i="74"/>
  <c r="I87" i="74"/>
  <c r="I73" i="74"/>
  <c r="R104" i="74"/>
  <c r="V104" i="74"/>
  <c r="R72" i="74"/>
  <c r="V72" i="74"/>
  <c r="V92" i="74"/>
  <c r="R92" i="74"/>
  <c r="R13" i="74"/>
  <c r="V13" i="74"/>
  <c r="V33" i="74"/>
  <c r="R33" i="74"/>
  <c r="I31" i="74"/>
  <c r="I50" i="74"/>
  <c r="I11" i="74"/>
  <c r="I48" i="74"/>
  <c r="R37" i="70"/>
  <c r="R38" i="70"/>
  <c r="R36" i="70"/>
  <c r="C5" i="9"/>
  <c r="D13" i="17"/>
  <c r="D12" i="17"/>
  <c r="D11" i="17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4" i="66"/>
  <c r="P134" i="66" s="1"/>
  <c r="V134" i="66" s="1"/>
  <c r="C230" i="66"/>
  <c r="P230" i="66" s="1"/>
  <c r="V230" i="66" s="1"/>
  <c r="C38" i="66"/>
  <c r="P38" i="66" s="1"/>
  <c r="V38" i="66" s="1"/>
  <c r="C86" i="66"/>
  <c r="P86" i="66" s="1"/>
  <c r="V86" i="66" s="1"/>
  <c r="C182" i="66"/>
  <c r="P182" i="66" s="1"/>
  <c r="V182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100" i="66"/>
  <c r="P100" i="66" s="1"/>
  <c r="V100" i="66" s="1"/>
  <c r="C104" i="66"/>
  <c r="P104" i="66" s="1"/>
  <c r="V104" i="66" s="1"/>
  <c r="I247" i="66"/>
  <c r="I103" i="74" s="1"/>
  <c r="B31" i="6"/>
  <c r="B12" i="6"/>
  <c r="D31" i="6"/>
  <c r="C31" i="6"/>
  <c r="C12" i="6"/>
  <c r="G267" i="66"/>
  <c r="G256" i="66"/>
  <c r="G262" i="66"/>
  <c r="G118" i="74" s="1"/>
  <c r="G171" i="66"/>
  <c r="G27" i="66"/>
  <c r="G27" i="74" s="1"/>
  <c r="C218" i="38"/>
  <c r="C233" i="38" s="1"/>
  <c r="C248" i="38" s="1"/>
  <c r="C263" i="38" s="1"/>
  <c r="A10" i="53"/>
  <c r="A16" i="53" s="1"/>
  <c r="A9" i="53"/>
  <c r="A15" i="53" s="1"/>
  <c r="I258" i="66"/>
  <c r="I114" i="74" s="1"/>
  <c r="C258" i="66"/>
  <c r="P258" i="66" s="1"/>
  <c r="V258" i="66" s="1"/>
  <c r="I271" i="66"/>
  <c r="C271" i="66"/>
  <c r="P271" i="66" s="1"/>
  <c r="V271" i="66" s="1"/>
  <c r="I280" i="66"/>
  <c r="C280" i="66"/>
  <c r="P280" i="66" s="1"/>
  <c r="I121" i="66"/>
  <c r="C121" i="66"/>
  <c r="P121" i="66" s="1"/>
  <c r="I113" i="66"/>
  <c r="I113" i="74" s="1"/>
  <c r="C113" i="66"/>
  <c r="I268" i="66"/>
  <c r="C268" i="66"/>
  <c r="I259" i="66"/>
  <c r="C259" i="66"/>
  <c r="P259" i="66" s="1"/>
  <c r="V259" i="66" s="1"/>
  <c r="I119" i="66"/>
  <c r="C119" i="66"/>
  <c r="I105" i="66"/>
  <c r="I105" i="74" s="1"/>
  <c r="C105" i="66"/>
  <c r="I262" i="66"/>
  <c r="C262" i="66"/>
  <c r="P262" i="66" s="1"/>
  <c r="V262" i="66" s="1"/>
  <c r="I115" i="66"/>
  <c r="I115" i="74" s="1"/>
  <c r="C115" i="66"/>
  <c r="P115" i="66" s="1"/>
  <c r="V115" i="66" s="1"/>
  <c r="I283" i="66"/>
  <c r="I139" i="74" s="1"/>
  <c r="C283" i="66"/>
  <c r="P283" i="66" s="1"/>
  <c r="V283" i="66" s="1"/>
  <c r="I275" i="66"/>
  <c r="I131" i="74" s="1"/>
  <c r="C275" i="66"/>
  <c r="I289" i="66"/>
  <c r="C289" i="66"/>
  <c r="I123" i="66"/>
  <c r="I123" i="74" s="1"/>
  <c r="C123" i="66"/>
  <c r="P123" i="66" s="1"/>
  <c r="V123" i="66" s="1"/>
  <c r="I278" i="66"/>
  <c r="I134" i="74" s="1"/>
  <c r="C278" i="66"/>
  <c r="P278" i="66" s="1"/>
  <c r="V278" i="66" s="1"/>
  <c r="I141" i="66"/>
  <c r="I141" i="74" s="1"/>
  <c r="C141" i="66"/>
  <c r="I285" i="66"/>
  <c r="C285" i="66"/>
  <c r="I279" i="66"/>
  <c r="C279" i="66"/>
  <c r="P279" i="66" s="1"/>
  <c r="I136" i="66"/>
  <c r="C136" i="66"/>
  <c r="P136" i="66" s="1"/>
  <c r="I143" i="66"/>
  <c r="I143" i="74" s="1"/>
  <c r="C143" i="66"/>
  <c r="P143" i="66" s="1"/>
  <c r="V143" i="66" s="1"/>
  <c r="I263" i="66"/>
  <c r="C263" i="66"/>
  <c r="I291" i="66"/>
  <c r="C291" i="66"/>
  <c r="P291" i="66" s="1"/>
  <c r="V291" i="66" s="1"/>
  <c r="I145" i="66"/>
  <c r="C145" i="66"/>
  <c r="I129" i="66"/>
  <c r="I129" i="74" s="1"/>
  <c r="C129" i="66"/>
  <c r="P129" i="66" s="1"/>
  <c r="V129" i="66" s="1"/>
  <c r="I270" i="66"/>
  <c r="I126" i="74" s="1"/>
  <c r="C270" i="66"/>
  <c r="I127" i="66"/>
  <c r="I127" i="74" s="1"/>
  <c r="C127" i="66"/>
  <c r="P127" i="66" s="1"/>
  <c r="V127" i="66" s="1"/>
  <c r="I138" i="66"/>
  <c r="C138" i="66"/>
  <c r="I111" i="66"/>
  <c r="I111" i="74" s="1"/>
  <c r="C111" i="66"/>
  <c r="P111" i="66" s="1"/>
  <c r="V111" i="66" s="1"/>
  <c r="I248" i="66"/>
  <c r="I104" i="74" s="1"/>
  <c r="C248" i="66"/>
  <c r="P248" i="66" s="1"/>
  <c r="V248" i="66" s="1"/>
  <c r="I135" i="66"/>
  <c r="I135" i="74" s="1"/>
  <c r="C135" i="66"/>
  <c r="P135" i="66" s="1"/>
  <c r="I274" i="66"/>
  <c r="I130" i="74" s="1"/>
  <c r="C274" i="66"/>
  <c r="P274" i="66" s="1"/>
  <c r="V274" i="66" s="1"/>
  <c r="I265" i="66"/>
  <c r="C265" i="66"/>
  <c r="P265" i="66" s="1"/>
  <c r="I112" i="66"/>
  <c r="I112" i="74" s="1"/>
  <c r="C112" i="66"/>
  <c r="I255" i="66"/>
  <c r="C255" i="66"/>
  <c r="P255" i="66" s="1"/>
  <c r="V255" i="66" s="1"/>
  <c r="I110" i="66"/>
  <c r="C110" i="66"/>
  <c r="P110" i="66" s="1"/>
  <c r="V110" i="66" s="1"/>
  <c r="I264" i="66"/>
  <c r="I120" i="74" s="1"/>
  <c r="C264" i="66"/>
  <c r="P264" i="66" s="1"/>
  <c r="V264" i="66" s="1"/>
  <c r="I254" i="66"/>
  <c r="C254" i="66"/>
  <c r="P254" i="66" s="1"/>
  <c r="V254" i="66" s="1"/>
  <c r="I266" i="66"/>
  <c r="I122" i="74" s="1"/>
  <c r="C266" i="66"/>
  <c r="I282" i="66"/>
  <c r="C282" i="66"/>
  <c r="I252" i="66"/>
  <c r="C252" i="66"/>
  <c r="I286" i="66"/>
  <c r="C286" i="66"/>
  <c r="I124" i="66"/>
  <c r="I124" i="74" s="1"/>
  <c r="C124" i="66"/>
  <c r="I284" i="66"/>
  <c r="I140" i="74" s="1"/>
  <c r="C284" i="66"/>
  <c r="P284" i="66" s="1"/>
  <c r="V284" i="66" s="1"/>
  <c r="I108" i="66"/>
  <c r="C108" i="66"/>
  <c r="I142" i="66"/>
  <c r="C142" i="66"/>
  <c r="I288" i="66"/>
  <c r="I144" i="74" s="1"/>
  <c r="C288" i="66"/>
  <c r="I107" i="66"/>
  <c r="I107" i="74" s="1"/>
  <c r="C107" i="66"/>
  <c r="P107" i="66" s="1"/>
  <c r="V107" i="66" s="1"/>
  <c r="I290" i="66"/>
  <c r="I146" i="74" s="1"/>
  <c r="C290" i="66"/>
  <c r="I147" i="66"/>
  <c r="C147" i="66"/>
  <c r="P147" i="66" s="1"/>
  <c r="V147" i="66" s="1"/>
  <c r="I246" i="66"/>
  <c r="I102" i="74" s="1"/>
  <c r="C246" i="66"/>
  <c r="I118" i="66"/>
  <c r="I118" i="74" s="1"/>
  <c r="C118" i="66"/>
  <c r="P118" i="66" s="1"/>
  <c r="V118" i="66" s="1"/>
  <c r="I128" i="66"/>
  <c r="I128" i="74" s="1"/>
  <c r="C128" i="66"/>
  <c r="G145" i="66"/>
  <c r="G145" i="74" s="1"/>
  <c r="G123" i="66"/>
  <c r="G123" i="74" s="1"/>
  <c r="G289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G166" i="66"/>
  <c r="G49" i="66"/>
  <c r="G22" i="66"/>
  <c r="G160" i="66"/>
  <c r="G193" i="66"/>
  <c r="G16" i="66"/>
  <c r="G16" i="74" s="1"/>
  <c r="G112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V188" i="66"/>
  <c r="V178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V177" i="66"/>
  <c r="E48" i="38"/>
  <c r="E44" i="38"/>
  <c r="E5" i="38"/>
  <c r="E14" i="38"/>
  <c r="E10" i="38"/>
  <c r="E7" i="38"/>
  <c r="V148" i="66"/>
  <c r="V195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V191" i="66"/>
  <c r="E50" i="38"/>
  <c r="V77" i="66"/>
  <c r="V130" i="66"/>
  <c r="V158" i="66"/>
  <c r="V273" i="66"/>
  <c r="V157" i="66"/>
  <c r="V61" i="66"/>
  <c r="V219" i="66"/>
  <c r="V196" i="66"/>
  <c r="V29" i="66"/>
  <c r="V114" i="66"/>
  <c r="V51" i="66"/>
  <c r="G53" i="20"/>
  <c r="V27" i="66"/>
  <c r="V207" i="66"/>
  <c r="V18" i="66"/>
  <c r="V159" i="66"/>
  <c r="V14" i="66"/>
  <c r="V75" i="66"/>
  <c r="V166" i="66"/>
  <c r="V22" i="66"/>
  <c r="V253" i="66"/>
  <c r="V81" i="66"/>
  <c r="V225" i="66"/>
  <c r="V63" i="66"/>
  <c r="V200" i="66"/>
  <c r="V62" i="66"/>
  <c r="V221" i="66"/>
  <c r="V155" i="66"/>
  <c r="V244" i="66"/>
  <c r="V243" i="66"/>
  <c r="V43" i="66"/>
  <c r="V214" i="66"/>
  <c r="V140" i="66"/>
  <c r="V187" i="66"/>
  <c r="V47" i="66"/>
  <c r="V59" i="66"/>
  <c r="V11" i="66"/>
  <c r="V19" i="66"/>
  <c r="V203" i="66"/>
  <c r="V15" i="66"/>
  <c r="V33" i="66"/>
  <c r="V8" i="66"/>
  <c r="V205" i="66"/>
  <c r="V206" i="66"/>
  <c r="V4" i="66"/>
  <c r="V92" i="66"/>
  <c r="V235" i="66"/>
  <c r="V24" i="66"/>
  <c r="V287" i="66"/>
  <c r="V31" i="66"/>
  <c r="V72" i="66"/>
  <c r="V173" i="66"/>
  <c r="V251" i="66"/>
  <c r="V171" i="66"/>
  <c r="V79" i="66"/>
  <c r="V210" i="66"/>
  <c r="V91" i="66"/>
  <c r="V163" i="66"/>
  <c r="V267" i="66"/>
  <c r="V175" i="66"/>
  <c r="V162" i="66"/>
  <c r="V70" i="66"/>
  <c r="V13" i="66"/>
  <c r="V269" i="66"/>
  <c r="V120" i="66"/>
  <c r="V139" i="66"/>
  <c r="V34" i="66"/>
  <c r="V66" i="66"/>
  <c r="V95" i="66"/>
  <c r="V99" i="66"/>
  <c r="V44" i="66"/>
  <c r="V82" i="66"/>
  <c r="V67" i="66"/>
  <c r="V168" i="66"/>
  <c r="V125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V56" i="66"/>
  <c r="A23" i="53"/>
  <c r="J39" i="9"/>
  <c r="A12" i="53"/>
  <c r="C274" i="38"/>
  <c r="V52" i="66"/>
  <c r="C271" i="38"/>
  <c r="E2" i="22"/>
  <c r="C254" i="38"/>
  <c r="A8" i="53"/>
  <c r="J35" i="9"/>
  <c r="J5" i="9" s="1"/>
  <c r="T5" i="9" s="1"/>
  <c r="I142" i="74" l="1"/>
  <c r="R86" i="74"/>
  <c r="I136" i="74"/>
  <c r="G49" i="74"/>
  <c r="I108" i="74"/>
  <c r="I147" i="74"/>
  <c r="I119" i="74"/>
  <c r="G112" i="74"/>
  <c r="I110" i="74"/>
  <c r="I145" i="74"/>
  <c r="G22" i="74"/>
  <c r="I138" i="74"/>
  <c r="I121" i="74"/>
  <c r="V134" i="74"/>
  <c r="R134" i="74"/>
  <c r="D64" i="72" a="1"/>
  <c r="D64" i="72" s="1"/>
  <c r="D65" i="72" s="1" a="1"/>
  <c r="D65" i="72" s="1"/>
  <c r="D66" i="72" s="1" a="1"/>
  <c r="D66" i="72" s="1"/>
  <c r="D67" i="72" s="1" a="1"/>
  <c r="D67" i="72" s="1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33" i="72" a="1"/>
  <c r="D33" i="72" s="1"/>
  <c r="D157" i="72" a="1"/>
  <c r="D157" i="72" s="1"/>
  <c r="D96" i="72" a="1"/>
  <c r="D96" i="72" s="1"/>
  <c r="D97" i="72" s="1" a="1"/>
  <c r="D97" i="72" s="1"/>
  <c r="D95" i="72" a="1"/>
  <c r="D95" i="72" s="1"/>
  <c r="D219" i="72" a="1"/>
  <c r="D219" i="72" s="1"/>
  <c r="D220" i="72" s="1" a="1"/>
  <c r="D220" i="72" s="1"/>
  <c r="D221" i="72" s="1" a="1"/>
  <c r="D221" i="72" s="1"/>
  <c r="D222" i="72" s="1" a="1"/>
  <c r="D222" i="72" s="1"/>
  <c r="D281" i="72" a="1"/>
  <c r="D281" i="72" s="1"/>
  <c r="D282" i="72" s="1" a="1"/>
  <c r="D282" i="72" s="1"/>
  <c r="D283" i="72" s="1" a="1"/>
  <c r="D283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128" i="72" l="1" a="1"/>
  <c r="D128" i="72" s="1"/>
  <c r="D129" i="72" s="1" a="1"/>
  <c r="D129" i="72" s="1"/>
  <c r="D284" i="72" a="1"/>
  <c r="D284" i="72" s="1"/>
  <c r="D285" i="72" s="1" a="1"/>
  <c r="D285" i="72" s="1"/>
  <c r="D286" i="72" s="1" a="1"/>
  <c r="D286" i="72" s="1"/>
  <c r="D253" i="72" a="1"/>
  <c r="D253" i="72" s="1"/>
  <c r="D254" i="72" s="1" a="1"/>
  <c r="D254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58" i="72" a="1"/>
  <c r="D158" i="72" s="1"/>
  <c r="D5" i="72" a="1"/>
  <c r="D5" i="72" s="1"/>
  <c r="D34" i="72" a="1"/>
  <c r="D34" i="72" s="1"/>
  <c r="D223" i="72" a="1"/>
  <c r="D223" i="72" s="1"/>
  <c r="D224" i="72" s="1" a="1"/>
  <c r="D224" i="72" s="1"/>
  <c r="D191" i="72" a="1"/>
  <c r="D191" i="72" s="1"/>
  <c r="D68" i="72" a="1"/>
  <c r="D68" i="72" s="1"/>
  <c r="D69" i="72" s="1" a="1"/>
  <c r="D69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130" i="72" l="1" a="1"/>
  <c r="D130" i="72" s="1"/>
  <c r="D131" i="72" s="1" a="1"/>
  <c r="D131" i="72" s="1"/>
  <c r="D132" i="72" s="1" a="1"/>
  <c r="D132" i="72" s="1"/>
  <c r="D287" i="72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25" i="72" a="1"/>
  <c r="D225" i="72" s="1"/>
  <c r="D226" i="72" s="1" a="1"/>
  <c r="D226" i="72" s="1"/>
  <c r="D227" i="72" s="1" a="1"/>
  <c r="D227" i="72" s="1"/>
  <c r="D228" i="72" s="1" a="1"/>
  <c r="D228" i="72" s="1"/>
  <c r="D6" i="72" a="1"/>
  <c r="D6" i="72" s="1"/>
  <c r="D7" i="72" s="1" a="1"/>
  <c r="D7" i="72" s="1"/>
  <c r="D8" i="72" s="1" a="1"/>
  <c r="D8" i="72" s="1"/>
  <c r="D9" i="72" s="1" a="1"/>
  <c r="D9" i="72" s="1"/>
  <c r="D70" i="72" a="1"/>
  <c r="D70" i="72" s="1"/>
  <c r="D192" i="72" a="1"/>
  <c r="D192" i="72" s="1"/>
  <c r="D159" i="72" a="1"/>
  <c r="D159" i="72" s="1"/>
  <c r="D160" i="72" s="1" a="1"/>
  <c r="D160" i="72" s="1"/>
  <c r="D103" i="72" a="1"/>
  <c r="D103" i="72" s="1"/>
  <c r="D104" i="72" s="1" a="1"/>
  <c r="D104" i="72" s="1"/>
  <c r="D255" i="72" a="1"/>
  <c r="D255" i="72" s="1"/>
  <c r="D256" i="72" s="1" a="1"/>
  <c r="D256" i="72" s="1"/>
  <c r="D35" i="72" a="1"/>
  <c r="D35" i="72" s="1"/>
  <c r="D36" i="72" s="1" a="1"/>
  <c r="D36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61" i="72" l="1" a="1"/>
  <c r="D161" i="72" s="1"/>
  <c r="D162" i="72" s="1" a="1"/>
  <c r="D162" i="72" s="1"/>
  <c r="D163" i="72" s="1" a="1"/>
  <c r="D163" i="72" s="1"/>
  <c r="D164" i="72" s="1" a="1"/>
  <c r="D164" i="72" s="1"/>
  <c r="D193" i="72" a="1"/>
  <c r="D193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3" i="72" a="1"/>
  <c r="D133" i="72" s="1"/>
  <c r="D134" i="72" s="1" a="1"/>
  <c r="D134" i="72" s="1"/>
  <c r="D135" i="72" s="1" a="1"/>
  <c r="D135" i="72" s="1"/>
  <c r="D136" i="72" s="1" a="1"/>
  <c r="D136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" i="72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229" i="72" a="1"/>
  <c r="D229" i="72" s="1"/>
  <c r="D230" i="72" s="1" a="1"/>
  <c r="D230" i="72" s="1"/>
  <c r="D71" i="72" a="1"/>
  <c r="D71" i="72" s="1"/>
  <c r="D72" i="72" s="1" a="1"/>
  <c r="D72" i="72" s="1"/>
  <c r="D73" i="72" s="1" a="1"/>
  <c r="D73" i="72" s="1"/>
  <c r="D37" i="72" a="1"/>
  <c r="D37" i="72" s="1"/>
  <c r="D38" i="72" s="1" a="1"/>
  <c r="D38" i="72" s="1"/>
  <c r="D257" i="72" a="1"/>
  <c r="D257" i="72" s="1"/>
  <c r="Z5" i="20"/>
  <c r="P28" i="18"/>
  <c r="P26" i="18"/>
  <c r="Z3" i="20"/>
  <c r="Z4" i="20"/>
  <c r="C265" i="38"/>
  <c r="C268" i="38"/>
  <c r="A32" i="53"/>
  <c r="A36" i="53"/>
  <c r="C275" i="38"/>
  <c r="D39" i="72" l="1" a="1"/>
  <c r="D39" i="72" s="1"/>
  <c r="D40" i="72" s="1" a="1"/>
  <c r="D40" i="72" s="1"/>
  <c r="D41" i="72" s="1" a="1"/>
  <c r="D41" i="72" s="1"/>
  <c r="D231" i="72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94" i="72" a="1"/>
  <c r="D194" i="72" s="1"/>
  <c r="D16" i="72" a="1"/>
  <c r="D16" i="72" s="1"/>
  <c r="D17" i="72" s="1" a="1"/>
  <c r="D17" i="72" s="1"/>
  <c r="D18" i="72" s="1" a="1"/>
  <c r="D18" i="72" s="1"/>
  <c r="D19" i="72" s="1" a="1"/>
  <c r="D19" i="72" s="1"/>
  <c r="D165" i="72" a="1"/>
  <c r="D165" i="72" s="1"/>
  <c r="D166" i="72" s="1" a="1"/>
  <c r="D166" i="72" s="1"/>
  <c r="D74" i="72" a="1"/>
  <c r="D74" i="72" s="1"/>
  <c r="D75" i="72" s="1" a="1"/>
  <c r="D75" i="72" s="1"/>
  <c r="D76" i="72" s="1" a="1"/>
  <c r="D76" i="72" s="1"/>
  <c r="M17" i="66"/>
  <c r="D10" i="53"/>
  <c r="D11" i="53"/>
  <c r="D34" i="53"/>
  <c r="D9" i="53"/>
  <c r="D23" i="53"/>
  <c r="D22" i="53"/>
  <c r="D35" i="53"/>
  <c r="D33" i="53"/>
  <c r="D21" i="53"/>
  <c r="D167" i="72" l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0" i="72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5" i="72" a="1"/>
  <c r="D195" i="72" s="1"/>
  <c r="D42" i="72" a="1"/>
  <c r="D42" i="72" s="1"/>
  <c r="D43" i="72" s="1" a="1"/>
  <c r="D43" i="72" s="1"/>
  <c r="N205" i="66"/>
  <c r="N57" i="66"/>
  <c r="N273" i="66"/>
  <c r="N144" i="66"/>
  <c r="N60" i="66"/>
  <c r="N94" i="66"/>
  <c r="N211" i="66"/>
  <c r="N93" i="66"/>
  <c r="N76" i="66"/>
  <c r="N239" i="66"/>
  <c r="N64" i="66"/>
  <c r="N79" i="66"/>
  <c r="N71" i="66"/>
  <c r="N126" i="66"/>
  <c r="N196" i="66"/>
  <c r="N202" i="66"/>
  <c r="N63" i="66"/>
  <c r="N63" i="74" s="1"/>
  <c r="N271" i="66"/>
  <c r="N67" i="66"/>
  <c r="N67" i="74" s="1"/>
  <c r="N223" i="66"/>
  <c r="N204" i="66"/>
  <c r="N237" i="66"/>
  <c r="N201" i="66"/>
  <c r="N95" i="66"/>
  <c r="N81" i="66"/>
  <c r="N136" i="66"/>
  <c r="N52" i="66"/>
  <c r="N52" i="74" s="1"/>
  <c r="N61" i="66"/>
  <c r="N61" i="74" s="1"/>
  <c r="N56" i="66"/>
  <c r="N56" i="74" s="1"/>
  <c r="N225" i="66"/>
  <c r="N265" i="66"/>
  <c r="N101" i="66"/>
  <c r="N75" i="66"/>
  <c r="N207" i="66"/>
  <c r="N208" i="66"/>
  <c r="N241" i="66"/>
  <c r="N244" i="66"/>
  <c r="N283" i="66"/>
  <c r="N216" i="66"/>
  <c r="N219" i="66"/>
  <c r="N82" i="66"/>
  <c r="N86" i="66"/>
  <c r="N130" i="66"/>
  <c r="N235" i="66"/>
  <c r="N200" i="66"/>
  <c r="N230" i="66"/>
  <c r="N122" i="66"/>
  <c r="N238" i="66"/>
  <c r="N199" i="66"/>
  <c r="N114" i="66"/>
  <c r="N269" i="66"/>
  <c r="N91" i="66"/>
  <c r="N110" i="66"/>
  <c r="N110" i="74" s="1"/>
  <c r="N140" i="66"/>
  <c r="N220" i="66"/>
  <c r="N287" i="66"/>
  <c r="N97" i="66"/>
  <c r="N97" i="74" s="1"/>
  <c r="N118" i="66"/>
  <c r="N72" i="66"/>
  <c r="N62" i="66"/>
  <c r="N58" i="66"/>
  <c r="N58" i="74" s="1"/>
  <c r="N215" i="66"/>
  <c r="N226" i="66"/>
  <c r="N55" i="66"/>
  <c r="N253" i="66"/>
  <c r="N206" i="66"/>
  <c r="N27" i="66"/>
  <c r="N160" i="66"/>
  <c r="N153" i="66"/>
  <c r="N169" i="66"/>
  <c r="N162" i="66"/>
  <c r="N25" i="66"/>
  <c r="N138" i="66"/>
  <c r="N14" i="66"/>
  <c r="N37" i="66"/>
  <c r="N22" i="66"/>
  <c r="N44" i="66"/>
  <c r="N288" i="66"/>
  <c r="N152" i="66"/>
  <c r="N266" i="66"/>
  <c r="N127" i="66"/>
  <c r="N120" i="66"/>
  <c r="N277" i="66"/>
  <c r="N10" i="66"/>
  <c r="N18" i="66"/>
  <c r="N106" i="66"/>
  <c r="N177" i="66"/>
  <c r="N151" i="66"/>
  <c r="N284" i="66"/>
  <c r="N103" i="66"/>
  <c r="N249" i="66"/>
  <c r="N247" i="66"/>
  <c r="N176" i="66"/>
  <c r="N250" i="66"/>
  <c r="N178" i="66"/>
  <c r="N139" i="66"/>
  <c r="N139" i="74" s="1"/>
  <c r="N159" i="66"/>
  <c r="N15" i="66"/>
  <c r="N124" i="66"/>
  <c r="N228" i="66"/>
  <c r="N128" i="66"/>
  <c r="N191" i="66"/>
  <c r="N43" i="66"/>
  <c r="N229" i="66"/>
  <c r="N23" i="66"/>
  <c r="N248" i="66"/>
  <c r="N192" i="66"/>
  <c r="N129" i="66"/>
  <c r="N129" i="74" s="1"/>
  <c r="N145" i="66"/>
  <c r="N19" i="66"/>
  <c r="N11" i="66"/>
  <c r="N282" i="66"/>
  <c r="N36" i="66"/>
  <c r="N36" i="74" s="1"/>
  <c r="N40" i="66"/>
  <c r="N132" i="66"/>
  <c r="N115" i="66"/>
  <c r="N31" i="66"/>
  <c r="N186" i="66"/>
  <c r="N255" i="66"/>
  <c r="N125" i="66"/>
  <c r="N125" i="74" s="1"/>
  <c r="N134" i="66"/>
  <c r="N254" i="66"/>
  <c r="N133" i="66"/>
  <c r="N133" i="74" s="1"/>
  <c r="N112" i="66"/>
  <c r="N12" i="66"/>
  <c r="N12" i="74" s="1"/>
  <c r="N187" i="66"/>
  <c r="N47" i="66"/>
  <c r="N4" i="66"/>
  <c r="N289" i="66"/>
  <c r="N107" i="66"/>
  <c r="N121" i="66"/>
  <c r="N173" i="66"/>
  <c r="N168" i="66"/>
  <c r="N24" i="66"/>
  <c r="N46" i="66"/>
  <c r="N46" i="74" s="1"/>
  <c r="N158" i="66"/>
  <c r="N9" i="66"/>
  <c r="N9" i="74" s="1"/>
  <c r="N251" i="66"/>
  <c r="N189" i="66"/>
  <c r="N5" i="66"/>
  <c r="N5" i="74" s="1"/>
  <c r="N181" i="66"/>
  <c r="N258" i="66"/>
  <c r="N142" i="66"/>
  <c r="N193" i="66"/>
  <c r="N84" i="66"/>
  <c r="N84" i="74" s="1"/>
  <c r="N149" i="66"/>
  <c r="N155" i="66"/>
  <c r="N48" i="66"/>
  <c r="N280" i="66"/>
  <c r="N105" i="66"/>
  <c r="N285" i="66"/>
  <c r="N85" i="66"/>
  <c r="N85" i="74" s="1"/>
  <c r="N42" i="66"/>
  <c r="N259" i="66"/>
  <c r="N29" i="66"/>
  <c r="N45" i="66"/>
  <c r="N34" i="66"/>
  <c r="N34" i="74" s="1"/>
  <c r="N174" i="66"/>
  <c r="N148" i="66"/>
  <c r="N163" i="66"/>
  <c r="N182" i="66"/>
  <c r="N104" i="66"/>
  <c r="N172" i="66"/>
  <c r="N13" i="66"/>
  <c r="N13" i="74" s="1"/>
  <c r="N111" i="66"/>
  <c r="N111" i="74" s="1"/>
  <c r="N252" i="66"/>
  <c r="N38" i="66"/>
  <c r="N274" i="66"/>
  <c r="N33" i="66"/>
  <c r="N33" i="74" s="1"/>
  <c r="N245" i="66"/>
  <c r="N30" i="66"/>
  <c r="N30" i="74" s="1"/>
  <c r="N49" i="66"/>
  <c r="N175" i="66"/>
  <c r="N7" i="66"/>
  <c r="N7" i="74" s="1"/>
  <c r="N184" i="66"/>
  <c r="N16" i="66"/>
  <c r="N16" i="74" s="1"/>
  <c r="N188" i="66"/>
  <c r="N109" i="66"/>
  <c r="N32" i="66"/>
  <c r="N157" i="66"/>
  <c r="N276" i="66"/>
  <c r="N263" i="66"/>
  <c r="N119" i="66"/>
  <c r="N119" i="74" s="1"/>
  <c r="N143" i="66"/>
  <c r="N154" i="66"/>
  <c r="N123" i="66"/>
  <c r="N28" i="66"/>
  <c r="N28" i="74" s="1"/>
  <c r="N270" i="66"/>
  <c r="N264" i="66"/>
  <c r="N286" i="66"/>
  <c r="N166" i="66"/>
  <c r="N156" i="66"/>
  <c r="N268" i="66"/>
  <c r="N180" i="66"/>
  <c r="N8" i="66"/>
  <c r="N190" i="66"/>
  <c r="N100" i="66"/>
  <c r="N100" i="74" s="1"/>
  <c r="N167" i="66"/>
  <c r="N108" i="66"/>
  <c r="N108" i="74" s="1"/>
  <c r="N272" i="66"/>
  <c r="N278" i="66"/>
  <c r="N141" i="66"/>
  <c r="N267" i="66"/>
  <c r="N262" i="66"/>
  <c r="N171" i="66"/>
  <c r="N256" i="66"/>
  <c r="H4" i="66"/>
  <c r="L133" i="66"/>
  <c r="J132" i="66"/>
  <c r="J132" i="74" s="1"/>
  <c r="K181" i="66"/>
  <c r="H133" i="66"/>
  <c r="H229" i="66"/>
  <c r="K37" i="66"/>
  <c r="L181" i="66"/>
  <c r="J85" i="66"/>
  <c r="J228" i="66"/>
  <c r="J133" i="66"/>
  <c r="J133" i="74" s="1"/>
  <c r="J277" i="66"/>
  <c r="J36" i="66"/>
  <c r="K85" i="66"/>
  <c r="L132" i="66"/>
  <c r="L132" i="74" s="1"/>
  <c r="H228" i="66"/>
  <c r="J180" i="66"/>
  <c r="K133" i="66"/>
  <c r="K133" i="74" s="1"/>
  <c r="L228" i="66"/>
  <c r="L85" i="66"/>
  <c r="L37" i="66"/>
  <c r="H84" i="66"/>
  <c r="L84" i="66"/>
  <c r="K276" i="66"/>
  <c r="L36" i="66"/>
  <c r="H181" i="66"/>
  <c r="L180" i="66"/>
  <c r="H132" i="66"/>
  <c r="J181" i="66"/>
  <c r="K36" i="66"/>
  <c r="L229" i="66"/>
  <c r="H276" i="66"/>
  <c r="J229" i="66"/>
  <c r="H36" i="66"/>
  <c r="K180" i="66"/>
  <c r="K84" i="66"/>
  <c r="L276" i="66"/>
  <c r="K228" i="66"/>
  <c r="J37" i="66"/>
  <c r="J37" i="74" s="1"/>
  <c r="K132" i="66"/>
  <c r="K132" i="74" s="1"/>
  <c r="H277" i="66"/>
  <c r="H85" i="66"/>
  <c r="H85" i="74" s="1"/>
  <c r="H180" i="66"/>
  <c r="K229" i="66"/>
  <c r="K277" i="66"/>
  <c r="L277" i="66"/>
  <c r="H37" i="66"/>
  <c r="H37" i="74" s="1"/>
  <c r="J276" i="66"/>
  <c r="J84" i="66"/>
  <c r="J84" i="74" s="1"/>
  <c r="J217" i="66"/>
  <c r="K35" i="66"/>
  <c r="J67" i="66"/>
  <c r="K248" i="66"/>
  <c r="J223" i="66"/>
  <c r="J190" i="66"/>
  <c r="J128" i="66"/>
  <c r="J80" i="66"/>
  <c r="H285" i="66"/>
  <c r="H148" i="66"/>
  <c r="J101" i="66"/>
  <c r="J245" i="66"/>
  <c r="J52" i="66"/>
  <c r="J115" i="66"/>
  <c r="J74" i="66"/>
  <c r="J96" i="66"/>
  <c r="M283" i="66"/>
  <c r="J134" i="66"/>
  <c r="J265" i="66"/>
  <c r="L218" i="66"/>
  <c r="H21" i="66"/>
  <c r="H61" i="66"/>
  <c r="L256" i="66"/>
  <c r="J56" i="66"/>
  <c r="K51" i="66"/>
  <c r="L143" i="66"/>
  <c r="J4" i="66"/>
  <c r="K226" i="66"/>
  <c r="K7" i="66"/>
  <c r="L128" i="66"/>
  <c r="J73" i="66"/>
  <c r="J73" i="74" s="1"/>
  <c r="K67" i="66"/>
  <c r="J263" i="66"/>
  <c r="M206" i="66"/>
  <c r="M42" i="66"/>
  <c r="J283" i="66"/>
  <c r="M171" i="66"/>
  <c r="M10" i="66"/>
  <c r="J143" i="66"/>
  <c r="J107" i="66"/>
  <c r="M187" i="66"/>
  <c r="M40" i="66"/>
  <c r="H201" i="66"/>
  <c r="H64" i="66"/>
  <c r="H27" i="66"/>
  <c r="M19" i="66"/>
  <c r="J57" i="66"/>
  <c r="J199" i="66"/>
  <c r="H264" i="66"/>
  <c r="J230" i="66"/>
  <c r="J122" i="66"/>
  <c r="H158" i="66"/>
  <c r="J234" i="66"/>
  <c r="K50" i="66"/>
  <c r="M8" i="66"/>
  <c r="M186" i="66"/>
  <c r="J98" i="66"/>
  <c r="L177" i="66"/>
  <c r="H81" i="66"/>
  <c r="K11" i="66"/>
  <c r="K49" i="66"/>
  <c r="M140" i="66"/>
  <c r="K273" i="66"/>
  <c r="H235" i="66"/>
  <c r="K196" i="66"/>
  <c r="J253" i="66"/>
  <c r="M168" i="66"/>
  <c r="M145" i="66"/>
  <c r="J104" i="66"/>
  <c r="L291" i="66"/>
  <c r="L131" i="66"/>
  <c r="K183" i="66"/>
  <c r="L174" i="66"/>
  <c r="J16" i="66"/>
  <c r="K197" i="66"/>
  <c r="M23" i="66"/>
  <c r="K136" i="66"/>
  <c r="J262" i="66"/>
  <c r="H72" i="66"/>
  <c r="L38" i="66"/>
  <c r="H195" i="66"/>
  <c r="L173" i="66"/>
  <c r="M26" i="66"/>
  <c r="H259" i="66"/>
  <c r="L93" i="66"/>
  <c r="M56" i="66"/>
  <c r="K95" i="66"/>
  <c r="H55" i="66"/>
  <c r="M44" i="66"/>
  <c r="J202" i="66"/>
  <c r="H100" i="66"/>
  <c r="L205" i="66"/>
  <c r="L237" i="66"/>
  <c r="L4" i="66"/>
  <c r="J278" i="66"/>
  <c r="K38" i="66"/>
  <c r="J64" i="66"/>
  <c r="J239" i="66"/>
  <c r="H189" i="66"/>
  <c r="J61" i="66"/>
  <c r="K244" i="66"/>
  <c r="L139" i="66"/>
  <c r="L184" i="66"/>
  <c r="L59" i="66"/>
  <c r="M110" i="66"/>
  <c r="M257" i="66"/>
  <c r="J145" i="66"/>
  <c r="H196" i="66"/>
  <c r="J244" i="66"/>
  <c r="M82" i="66"/>
  <c r="M82" i="74" s="1"/>
  <c r="J53" i="66"/>
  <c r="L262" i="66"/>
  <c r="L288" i="66"/>
  <c r="M46" i="66"/>
  <c r="K34" i="66"/>
  <c r="K199" i="66"/>
  <c r="H227" i="66"/>
  <c r="M138" i="66"/>
  <c r="M138" i="74" s="1"/>
  <c r="J291" i="66"/>
  <c r="J138" i="66"/>
  <c r="M126" i="66"/>
  <c r="K281" i="66"/>
  <c r="J121" i="66"/>
  <c r="J207" i="66"/>
  <c r="M16" i="66"/>
  <c r="L23" i="66"/>
  <c r="J89" i="66"/>
  <c r="J89" i="74" s="1"/>
  <c r="K41" i="66"/>
  <c r="L69" i="66"/>
  <c r="H50" i="66"/>
  <c r="M201" i="66"/>
  <c r="K179" i="66"/>
  <c r="J266" i="66"/>
  <c r="J59" i="66"/>
  <c r="J59" i="74" s="1"/>
  <c r="M230" i="66"/>
  <c r="J212" i="66"/>
  <c r="K287" i="66"/>
  <c r="M18" i="66"/>
  <c r="K52" i="66"/>
  <c r="K52" i="74" s="1"/>
  <c r="H242" i="66"/>
  <c r="H160" i="66"/>
  <c r="J220" i="66"/>
  <c r="H200" i="66"/>
  <c r="M48" i="66"/>
  <c r="K53" i="66"/>
  <c r="J259" i="66"/>
  <c r="J124" i="66"/>
  <c r="M81" i="66"/>
  <c r="K5" i="66"/>
  <c r="J155" i="66"/>
  <c r="M167" i="66"/>
  <c r="J184" i="66"/>
  <c r="J100" i="66"/>
  <c r="J100" i="74" s="1"/>
  <c r="K208" i="66"/>
  <c r="J130" i="66"/>
  <c r="M9" i="66"/>
  <c r="H105" i="66"/>
  <c r="L112" i="66"/>
  <c r="L112" i="74" s="1"/>
  <c r="K258" i="66"/>
  <c r="J273" i="66"/>
  <c r="M222" i="66"/>
  <c r="J109" i="66"/>
  <c r="J109" i="74" s="1"/>
  <c r="K27" i="66"/>
  <c r="J204" i="66"/>
  <c r="H147" i="66"/>
  <c r="K271" i="66"/>
  <c r="L41" i="66"/>
  <c r="J78" i="66"/>
  <c r="J271" i="66"/>
  <c r="J238" i="66"/>
  <c r="L166" i="66"/>
  <c r="J9" i="66"/>
  <c r="K125" i="66"/>
  <c r="K47" i="66"/>
  <c r="L115" i="66"/>
  <c r="M282" i="66"/>
  <c r="K59" i="66"/>
  <c r="M97" i="66"/>
  <c r="J200" i="66"/>
  <c r="H213" i="66"/>
  <c r="M287" i="66"/>
  <c r="J108" i="66"/>
  <c r="H255" i="66"/>
  <c r="K99" i="66"/>
  <c r="L209" i="66"/>
  <c r="H187" i="66"/>
  <c r="M101" i="66"/>
  <c r="J233" i="66"/>
  <c r="H208" i="66"/>
  <c r="M149" i="66"/>
  <c r="M77" i="66"/>
  <c r="J255" i="66"/>
  <c r="M112" i="66"/>
  <c r="H178" i="66"/>
  <c r="H89" i="66"/>
  <c r="M288" i="66"/>
  <c r="H62" i="66"/>
  <c r="M120" i="66"/>
  <c r="L97" i="66"/>
  <c r="L97" i="74" s="1"/>
  <c r="L198" i="66"/>
  <c r="J19" i="66"/>
  <c r="L260" i="66"/>
  <c r="L89" i="66"/>
  <c r="J163" i="66"/>
  <c r="M209" i="66"/>
  <c r="M245" i="66"/>
  <c r="L14" i="66"/>
  <c r="J76" i="66"/>
  <c r="H52" i="66"/>
  <c r="H52" i="74" s="1"/>
  <c r="K264" i="66"/>
  <c r="M61" i="66"/>
  <c r="H67" i="66"/>
  <c r="K245" i="66"/>
  <c r="H130" i="66"/>
  <c r="M76" i="66"/>
  <c r="L211" i="66"/>
  <c r="J158" i="66"/>
  <c r="M289" i="66"/>
  <c r="L113" i="66"/>
  <c r="M136" i="66"/>
  <c r="L114" i="66"/>
  <c r="J224" i="66"/>
  <c r="J203" i="66"/>
  <c r="K283" i="66"/>
  <c r="L137" i="66"/>
  <c r="M63" i="66"/>
  <c r="H98" i="66"/>
  <c r="H98" i="74" s="1"/>
  <c r="L15" i="66"/>
  <c r="M122" i="66"/>
  <c r="M155" i="66"/>
  <c r="K70" i="66"/>
  <c r="J225" i="66"/>
  <c r="K97" i="66"/>
  <c r="K97" i="74" s="1"/>
  <c r="M33" i="66"/>
  <c r="L149" i="66"/>
  <c r="L107" i="66"/>
  <c r="L196" i="66"/>
  <c r="J226" i="66"/>
  <c r="J240" i="66"/>
  <c r="H139" i="66"/>
  <c r="H279" i="66"/>
  <c r="J281" i="66"/>
  <c r="M64" i="66"/>
  <c r="J81" i="66"/>
  <c r="J81" i="74" s="1"/>
  <c r="L67" i="66"/>
  <c r="L67" i="74" s="1"/>
  <c r="J261" i="66"/>
  <c r="J136" i="66"/>
  <c r="M183" i="66"/>
  <c r="H93" i="66"/>
  <c r="H57" i="66"/>
  <c r="K160" i="66"/>
  <c r="K44" i="66"/>
  <c r="K81" i="66"/>
  <c r="L70" i="66"/>
  <c r="L70" i="74" s="1"/>
  <c r="K120" i="66"/>
  <c r="K255" i="66"/>
  <c r="L178" i="66"/>
  <c r="M135" i="66"/>
  <c r="J282" i="66"/>
  <c r="M125" i="66"/>
  <c r="M128" i="66"/>
  <c r="K205" i="66"/>
  <c r="K130" i="66"/>
  <c r="J219" i="66"/>
  <c r="L24" i="66"/>
  <c r="M129" i="66"/>
  <c r="M129" i="74" s="1"/>
  <c r="K166" i="66"/>
  <c r="L223" i="66"/>
  <c r="K256" i="66"/>
  <c r="M255" i="66"/>
  <c r="K92" i="66"/>
  <c r="K265" i="66"/>
  <c r="H115" i="66"/>
  <c r="H115" i="74" s="1"/>
  <c r="J178" i="66"/>
  <c r="L282" i="66"/>
  <c r="K231" i="66"/>
  <c r="J63" i="66"/>
  <c r="M104" i="66"/>
  <c r="L145" i="66"/>
  <c r="K61" i="66"/>
  <c r="M160" i="66"/>
  <c r="H120" i="66"/>
  <c r="H120" i="74" s="1"/>
  <c r="H287" i="66"/>
  <c r="K241" i="66"/>
  <c r="M208" i="66"/>
  <c r="L269" i="66"/>
  <c r="J215" i="66"/>
  <c r="L52" i="66"/>
  <c r="L52" i="74" s="1"/>
  <c r="L158" i="66"/>
  <c r="J269" i="66"/>
  <c r="J70" i="66"/>
  <c r="J174" i="66"/>
  <c r="J285" i="66"/>
  <c r="L160" i="66"/>
  <c r="M240" i="66"/>
  <c r="K109" i="66"/>
  <c r="J149" i="66"/>
  <c r="J183" i="66"/>
  <c r="J237" i="66"/>
  <c r="L245" i="66"/>
  <c r="J131" i="66"/>
  <c r="M130" i="66"/>
  <c r="M156" i="66"/>
  <c r="L199" i="66"/>
  <c r="H63" i="66"/>
  <c r="H223" i="66"/>
  <c r="K64" i="66"/>
  <c r="K64" i="74" s="1"/>
  <c r="L241" i="66"/>
  <c r="L121" i="66"/>
  <c r="M217" i="66"/>
  <c r="M226" i="66"/>
  <c r="M258" i="66"/>
  <c r="L117" i="66"/>
  <c r="M176" i="66"/>
  <c r="L157" i="66"/>
  <c r="L54" i="66"/>
  <c r="L54" i="74" s="1"/>
  <c r="H278" i="66"/>
  <c r="H253" i="66"/>
  <c r="H165" i="66"/>
  <c r="L270" i="66"/>
  <c r="K200" i="66"/>
  <c r="L251" i="66"/>
  <c r="J99" i="66"/>
  <c r="H117" i="66"/>
  <c r="M197" i="66"/>
  <c r="K262" i="66"/>
  <c r="K115" i="66"/>
  <c r="L273" i="66"/>
  <c r="L125" i="66"/>
  <c r="L125" i="74" s="1"/>
  <c r="J264" i="66"/>
  <c r="L289" i="66"/>
  <c r="K148" i="66"/>
  <c r="J117" i="66"/>
  <c r="K63" i="66"/>
  <c r="J75" i="66"/>
  <c r="H127" i="66"/>
  <c r="H241" i="66"/>
  <c r="M270" i="66"/>
  <c r="K233" i="66"/>
  <c r="J170" i="66"/>
  <c r="J120" i="66"/>
  <c r="J120" i="74" s="1"/>
  <c r="M47" i="66"/>
  <c r="J209" i="66"/>
  <c r="J218" i="66"/>
  <c r="M60" i="66"/>
  <c r="J137" i="66"/>
  <c r="J30" i="66"/>
  <c r="M114" i="66"/>
  <c r="M114" i="74" s="1"/>
  <c r="L88" i="66"/>
  <c r="M263" i="66"/>
  <c r="K137" i="66"/>
  <c r="J206" i="66"/>
  <c r="J251" i="66"/>
  <c r="M220" i="66"/>
  <c r="M70" i="66"/>
  <c r="M273" i="66"/>
  <c r="J92" i="66"/>
  <c r="J5" i="66"/>
  <c r="J5" i="74" s="1"/>
  <c r="K269" i="66"/>
  <c r="K223" i="66"/>
  <c r="M115" i="66"/>
  <c r="J279" i="66"/>
  <c r="L129" i="66"/>
  <c r="K121" i="66"/>
  <c r="K121" i="74" s="1"/>
  <c r="J144" i="66"/>
  <c r="J27" i="66"/>
  <c r="J213" i="66"/>
  <c r="K227" i="66"/>
  <c r="M29" i="66"/>
  <c r="M29" i="74" s="1"/>
  <c r="J79" i="66"/>
  <c r="L265" i="66"/>
  <c r="M200" i="66"/>
  <c r="L82" i="66"/>
  <c r="J254" i="66"/>
  <c r="L130" i="66"/>
  <c r="H99" i="66"/>
  <c r="H99" i="74" s="1"/>
  <c r="J95" i="66"/>
  <c r="J289" i="66"/>
  <c r="M157" i="66"/>
  <c r="K253" i="66"/>
  <c r="L19" i="66"/>
  <c r="L19" i="74" s="1"/>
  <c r="L258" i="66"/>
  <c r="M24" i="66"/>
  <c r="K98" i="66"/>
  <c r="J208" i="66"/>
  <c r="M254" i="66"/>
  <c r="M241" i="66"/>
  <c r="M163" i="66"/>
  <c r="J156" i="66"/>
  <c r="J267" i="66"/>
  <c r="M52" i="66"/>
  <c r="M52" i="74" s="1"/>
  <c r="K112" i="66"/>
  <c r="J11" i="66"/>
  <c r="J196" i="66"/>
  <c r="M173" i="66"/>
  <c r="K217" i="66"/>
  <c r="H182" i="66"/>
  <c r="H225" i="66"/>
  <c r="K149" i="66"/>
  <c r="M72" i="66"/>
  <c r="L215" i="66"/>
  <c r="J287" i="66"/>
  <c r="M11" i="66"/>
  <c r="K216" i="66"/>
  <c r="M266" i="66"/>
  <c r="M267" i="66"/>
  <c r="K230" i="66"/>
  <c r="K278" i="66"/>
  <c r="K168" i="66"/>
  <c r="M231" i="66"/>
  <c r="L63" i="66"/>
  <c r="L275" i="66"/>
  <c r="M191" i="66"/>
  <c r="L253" i="66"/>
  <c r="M216" i="66"/>
  <c r="M25" i="66"/>
  <c r="J139" i="66"/>
  <c r="J139" i="74" s="1"/>
  <c r="M148" i="66"/>
  <c r="H267" i="66"/>
  <c r="L243" i="66"/>
  <c r="J54" i="66"/>
  <c r="M265" i="66"/>
  <c r="J112" i="66"/>
  <c r="J216" i="66"/>
  <c r="L55" i="66"/>
  <c r="L55" i="74" s="1"/>
  <c r="H243" i="66"/>
  <c r="L16" i="66"/>
  <c r="L16" i="74" s="1"/>
  <c r="L109" i="66"/>
  <c r="M225" i="66"/>
  <c r="L120" i="66"/>
  <c r="K279" i="66"/>
  <c r="L283" i="66"/>
  <c r="J165" i="66"/>
  <c r="K251" i="66"/>
  <c r="H137" i="66"/>
  <c r="L214" i="66"/>
  <c r="M269" i="66"/>
  <c r="M174" i="66"/>
  <c r="M205" i="66"/>
  <c r="L284" i="66"/>
  <c r="M67" i="66"/>
  <c r="L165" i="66"/>
  <c r="J275" i="66"/>
  <c r="K289" i="66"/>
  <c r="M196" i="66"/>
  <c r="H230" i="66"/>
  <c r="M30" i="66"/>
  <c r="M109" i="66"/>
  <c r="M109" i="74" s="1"/>
  <c r="J241" i="66"/>
  <c r="J192" i="66"/>
  <c r="J111" i="66"/>
  <c r="J111" i="74" s="1"/>
  <c r="L163" i="66"/>
  <c r="J260" i="66"/>
  <c r="M92" i="66"/>
  <c r="J160" i="66"/>
  <c r="J148" i="66"/>
  <c r="M218" i="66"/>
  <c r="K77" i="66"/>
  <c r="J258" i="66"/>
  <c r="J129" i="66"/>
  <c r="J129" i="74" s="1"/>
  <c r="K219" i="66"/>
  <c r="L246" i="66"/>
  <c r="M124" i="66"/>
  <c r="H75" i="66"/>
  <c r="K75" i="66"/>
  <c r="L216" i="66"/>
  <c r="M237" i="66"/>
  <c r="L231" i="66"/>
  <c r="M203" i="66"/>
  <c r="M178" i="66"/>
  <c r="H216" i="66"/>
  <c r="H153" i="66"/>
  <c r="L77" i="66"/>
  <c r="L92" i="66"/>
  <c r="H211" i="66"/>
  <c r="K182" i="66"/>
  <c r="H112" i="66"/>
  <c r="K178" i="66"/>
  <c r="L213" i="66"/>
  <c r="H273" i="66"/>
  <c r="M204" i="66"/>
  <c r="H16" i="66"/>
  <c r="H16" i="74" s="1"/>
  <c r="L278" i="66"/>
  <c r="H157" i="66"/>
  <c r="L99" i="66"/>
  <c r="L99" i="74" s="1"/>
  <c r="L255" i="66"/>
  <c r="K267" i="66"/>
  <c r="K163" i="66"/>
  <c r="K191" i="66"/>
  <c r="L225" i="66"/>
  <c r="K158" i="66"/>
  <c r="K14" i="66"/>
  <c r="K14" i="74" s="1"/>
  <c r="M251" i="66"/>
  <c r="L61" i="66"/>
  <c r="L61" i="74" s="1"/>
  <c r="K89" i="66"/>
  <c r="K89" i="74" s="1"/>
  <c r="L290" i="66"/>
  <c r="H38" i="66"/>
  <c r="H38" i="74" s="1"/>
  <c r="J166" i="66"/>
  <c r="L230" i="66"/>
  <c r="J58" i="66"/>
  <c r="M88" i="66"/>
  <c r="J90" i="66"/>
  <c r="K29" i="66"/>
  <c r="K18" i="66"/>
  <c r="J175" i="66"/>
  <c r="K235" i="66"/>
  <c r="H146" i="66"/>
  <c r="L79" i="66"/>
  <c r="L79" i="74" s="1"/>
  <c r="L11" i="66"/>
  <c r="M78" i="66"/>
  <c r="L62" i="66"/>
  <c r="H151" i="66"/>
  <c r="L40" i="66"/>
  <c r="H49" i="66"/>
  <c r="L175" i="66"/>
  <c r="M202" i="66"/>
  <c r="M65" i="66"/>
  <c r="M65" i="74" s="1"/>
  <c r="M111" i="66"/>
  <c r="M111" i="74" s="1"/>
  <c r="M256" i="66"/>
  <c r="L217" i="66"/>
  <c r="J51" i="66"/>
  <c r="J176" i="66"/>
  <c r="M32" i="66"/>
  <c r="M177" i="66"/>
  <c r="K104" i="66"/>
  <c r="K275" i="66"/>
  <c r="L148" i="66"/>
  <c r="K242" i="66"/>
  <c r="L30" i="66"/>
  <c r="L30" i="74" s="1"/>
  <c r="M259" i="66"/>
  <c r="L80" i="66"/>
  <c r="M123" i="66"/>
  <c r="L274" i="66"/>
  <c r="L197" i="66"/>
  <c r="K24" i="66"/>
  <c r="K24" i="74" s="1"/>
  <c r="M253" i="66"/>
  <c r="J35" i="66"/>
  <c r="M232" i="66"/>
  <c r="K123" i="66"/>
  <c r="M39" i="66"/>
  <c r="M39" i="74" s="1"/>
  <c r="M224" i="66"/>
  <c r="L32" i="66"/>
  <c r="L32" i="74" s="1"/>
  <c r="M22" i="66"/>
  <c r="L151" i="66"/>
  <c r="M121" i="66"/>
  <c r="L65" i="66"/>
  <c r="L65" i="74" s="1"/>
  <c r="J242" i="66"/>
  <c r="L26" i="66"/>
  <c r="K162" i="66"/>
  <c r="L98" i="66"/>
  <c r="J77" i="66"/>
  <c r="L44" i="66"/>
  <c r="M215" i="66"/>
  <c r="M190" i="66"/>
  <c r="J32" i="66"/>
  <c r="H249" i="66"/>
  <c r="L122" i="66"/>
  <c r="H123" i="66"/>
  <c r="H123" i="74" s="1"/>
  <c r="L153" i="66"/>
  <c r="J221" i="66"/>
  <c r="M27" i="66"/>
  <c r="M27" i="74" s="1"/>
  <c r="L103" i="66"/>
  <c r="J194" i="66"/>
  <c r="J55" i="66"/>
  <c r="J55" i="74" s="1"/>
  <c r="J198" i="66"/>
  <c r="L17" i="66"/>
  <c r="L138" i="66"/>
  <c r="L138" i="74" s="1"/>
  <c r="J43" i="66"/>
  <c r="H56" i="66"/>
  <c r="H56" i="74" s="1"/>
  <c r="K206" i="66"/>
  <c r="J290" i="66"/>
  <c r="L249" i="66"/>
  <c r="M113" i="66"/>
  <c r="M113" i="74" s="1"/>
  <c r="H39" i="66"/>
  <c r="H291" i="66"/>
  <c r="H231" i="66"/>
  <c r="J125" i="66"/>
  <c r="M264" i="66"/>
  <c r="L111" i="66"/>
  <c r="L96" i="66"/>
  <c r="K16" i="66"/>
  <c r="K16" i="74" s="1"/>
  <c r="H226" i="66"/>
  <c r="H35" i="66"/>
  <c r="M158" i="66"/>
  <c r="L272" i="66"/>
  <c r="L182" i="66"/>
  <c r="J10" i="66"/>
  <c r="L176" i="66"/>
  <c r="J114" i="66"/>
  <c r="J189" i="66"/>
  <c r="L66" i="66"/>
  <c r="K101" i="66"/>
  <c r="K101" i="74" s="1"/>
  <c r="J20" i="66"/>
  <c r="J103" i="66"/>
  <c r="M94" i="66"/>
  <c r="K87" i="66"/>
  <c r="K87" i="74" s="1"/>
  <c r="J26" i="66"/>
  <c r="L25" i="66"/>
  <c r="L13" i="66"/>
  <c r="L13" i="74" s="1"/>
  <c r="J116" i="66"/>
  <c r="J116" i="74" s="1"/>
  <c r="J288" i="66"/>
  <c r="K114" i="66"/>
  <c r="K114" i="74" s="1"/>
  <c r="J127" i="66"/>
  <c r="J127" i="74" s="1"/>
  <c r="J152" i="66"/>
  <c r="M248" i="66"/>
  <c r="H95" i="66"/>
  <c r="L263" i="66"/>
  <c r="M80" i="66"/>
  <c r="J236" i="66"/>
  <c r="K155" i="66"/>
  <c r="J39" i="66"/>
  <c r="J39" i="74" s="1"/>
  <c r="L170" i="66"/>
  <c r="J235" i="66"/>
  <c r="K187" i="66"/>
  <c r="K139" i="66"/>
  <c r="K139" i="74" s="1"/>
  <c r="L191" i="66"/>
  <c r="K73" i="66"/>
  <c r="K73" i="74" s="1"/>
  <c r="J8" i="66"/>
  <c r="L5" i="66"/>
  <c r="L5" i="74" s="1"/>
  <c r="L287" i="66"/>
  <c r="M62" i="66"/>
  <c r="M62" i="74" s="1"/>
  <c r="L74" i="66"/>
  <c r="L74" i="74" s="1"/>
  <c r="J48" i="66"/>
  <c r="J150" i="66"/>
  <c r="M73" i="66"/>
  <c r="M73" i="74" s="1"/>
  <c r="L33" i="66"/>
  <c r="L33" i="74" s="1"/>
  <c r="L147" i="66"/>
  <c r="L147" i="74" s="1"/>
  <c r="M249" i="66"/>
  <c r="H248" i="66"/>
  <c r="K100" i="66"/>
  <c r="K100" i="74" s="1"/>
  <c r="J249" i="66"/>
  <c r="K195" i="66"/>
  <c r="J185" i="66"/>
  <c r="L179" i="66"/>
  <c r="J106" i="66"/>
  <c r="L9" i="66"/>
  <c r="L119" i="66"/>
  <c r="H111" i="66"/>
  <c r="H111" i="74" s="1"/>
  <c r="K62" i="66"/>
  <c r="L254" i="66"/>
  <c r="H134" i="66"/>
  <c r="H134" i="74" s="1"/>
  <c r="K86" i="66"/>
  <c r="K86" i="74" s="1"/>
  <c r="M278" i="66"/>
  <c r="K56" i="66"/>
  <c r="K56" i="74" s="1"/>
  <c r="M262" i="66"/>
  <c r="H271" i="66"/>
  <c r="K82" i="66"/>
  <c r="M58" i="66"/>
  <c r="M58" i="74" s="1"/>
  <c r="H256" i="66"/>
  <c r="L227" i="66"/>
  <c r="L78" i="66"/>
  <c r="L285" i="66"/>
  <c r="H24" i="66"/>
  <c r="M90" i="66"/>
  <c r="L206" i="66"/>
  <c r="H69" i="66"/>
  <c r="H69" i="74" s="1"/>
  <c r="H45" i="66"/>
  <c r="H45" i="74" s="1"/>
  <c r="L126" i="66"/>
  <c r="L126" i="74" s="1"/>
  <c r="J49" i="66"/>
  <c r="L18" i="66"/>
  <c r="J161" i="66"/>
  <c r="M268" i="66"/>
  <c r="L127" i="66"/>
  <c r="H237" i="66"/>
  <c r="M45" i="66"/>
  <c r="M45" i="74" s="1"/>
  <c r="L233" i="66"/>
  <c r="J201" i="66"/>
  <c r="M184" i="66"/>
  <c r="L210" i="66"/>
  <c r="J182" i="66"/>
  <c r="J83" i="66"/>
  <c r="H254" i="66"/>
  <c r="L187" i="66"/>
  <c r="K31" i="66"/>
  <c r="M154" i="66"/>
  <c r="L203" i="66"/>
  <c r="K210" i="66"/>
  <c r="L222" i="66"/>
  <c r="L164" i="66"/>
  <c r="L31" i="66"/>
  <c r="L31" i="74" s="1"/>
  <c r="M53" i="66"/>
  <c r="M53" i="74" s="1"/>
  <c r="L21" i="66"/>
  <c r="L21" i="74" s="1"/>
  <c r="H41" i="66"/>
  <c r="J188" i="66"/>
  <c r="M5" i="66"/>
  <c r="M5" i="74" s="1"/>
  <c r="M280" i="66"/>
  <c r="M175" i="66"/>
  <c r="K25" i="66"/>
  <c r="J71" i="66"/>
  <c r="J71" i="74" s="1"/>
  <c r="J247" i="66"/>
  <c r="K221" i="66"/>
  <c r="L50" i="66"/>
  <c r="L20" i="66"/>
  <c r="M95" i="66"/>
  <c r="J257" i="66"/>
  <c r="H179" i="66"/>
  <c r="L72" i="66"/>
  <c r="L72" i="74" s="1"/>
  <c r="K33" i="66"/>
  <c r="K33" i="74" s="1"/>
  <c r="L135" i="66"/>
  <c r="K145" i="66"/>
  <c r="K145" i="74" s="1"/>
  <c r="J135" i="66"/>
  <c r="J135" i="74" s="1"/>
  <c r="J23" i="66"/>
  <c r="L91" i="66"/>
  <c r="M223" i="66"/>
  <c r="J167" i="66"/>
  <c r="L100" i="66"/>
  <c r="M141" i="66"/>
  <c r="H86" i="66"/>
  <c r="J15" i="66"/>
  <c r="L39" i="66"/>
  <c r="L39" i="74" s="1"/>
  <c r="K194" i="66"/>
  <c r="J246" i="66"/>
  <c r="J126" i="66"/>
  <c r="J126" i="74" s="1"/>
  <c r="M161" i="66"/>
  <c r="M17" i="74" s="1"/>
  <c r="L261" i="66"/>
  <c r="L64" i="66"/>
  <c r="J169" i="66"/>
  <c r="J119" i="66"/>
  <c r="J119" i="74" s="1"/>
  <c r="M188" i="66"/>
  <c r="K203" i="66"/>
  <c r="M182" i="66"/>
  <c r="J87" i="66"/>
  <c r="J87" i="74" s="1"/>
  <c r="H91" i="66"/>
  <c r="J205" i="66"/>
  <c r="J274" i="66"/>
  <c r="M144" i="66"/>
  <c r="M144" i="74" s="1"/>
  <c r="J62" i="66"/>
  <c r="J62" i="74" s="1"/>
  <c r="H82" i="66"/>
  <c r="J168" i="66"/>
  <c r="H43" i="66"/>
  <c r="H43" i="74" s="1"/>
  <c r="J243" i="66"/>
  <c r="J66" i="66"/>
  <c r="L71" i="66"/>
  <c r="H171" i="66"/>
  <c r="L47" i="66"/>
  <c r="J82" i="66"/>
  <c r="J82" i="74" s="1"/>
  <c r="J141" i="66"/>
  <c r="J141" i="74" s="1"/>
  <c r="L189" i="66"/>
  <c r="K111" i="66"/>
  <c r="K111" i="74" s="1"/>
  <c r="L185" i="66"/>
  <c r="K243" i="66"/>
  <c r="K232" i="66"/>
  <c r="J179" i="66"/>
  <c r="J86" i="66"/>
  <c r="M79" i="66"/>
  <c r="M79" i="74" s="1"/>
  <c r="L102" i="66"/>
  <c r="L102" i="74" s="1"/>
  <c r="M12" i="66"/>
  <c r="M12" i="74" s="1"/>
  <c r="L259" i="66"/>
  <c r="J93" i="66"/>
  <c r="J93" i="74" s="1"/>
  <c r="J7" i="66"/>
  <c r="J7" i="74" s="1"/>
  <c r="J197" i="66"/>
  <c r="H87" i="66"/>
  <c r="H163" i="66"/>
  <c r="L35" i="66"/>
  <c r="L35" i="74" s="1"/>
  <c r="J151" i="66"/>
  <c r="M59" i="66"/>
  <c r="M59" i="74" s="1"/>
  <c r="H8" i="66"/>
  <c r="J210" i="66"/>
  <c r="K8" i="66"/>
  <c r="M286" i="66"/>
  <c r="H110" i="66"/>
  <c r="H110" i="74" s="1"/>
  <c r="J105" i="66"/>
  <c r="M153" i="66"/>
  <c r="M28" i="66"/>
  <c r="L257" i="66"/>
  <c r="L42" i="66"/>
  <c r="H194" i="66"/>
  <c r="K4" i="66"/>
  <c r="K4" i="74" s="1"/>
  <c r="M271" i="66"/>
  <c r="M238" i="66"/>
  <c r="J252" i="66"/>
  <c r="L146" i="66"/>
  <c r="L146" i="74" s="1"/>
  <c r="H274" i="66"/>
  <c r="K274" i="66"/>
  <c r="M75" i="66"/>
  <c r="J102" i="66"/>
  <c r="H31" i="66"/>
  <c r="M118" i="66"/>
  <c r="M118" i="74" s="1"/>
  <c r="M34" i="66"/>
  <c r="K169" i="66"/>
  <c r="M189" i="66"/>
  <c r="H104" i="66"/>
  <c r="K207" i="66"/>
  <c r="M285" i="66"/>
  <c r="L281" i="66"/>
  <c r="M159" i="66"/>
  <c r="L81" i="66"/>
  <c r="L81" i="74" s="1"/>
  <c r="H290" i="66"/>
  <c r="H103" i="66"/>
  <c r="J232" i="66"/>
  <c r="J186" i="66"/>
  <c r="M142" i="66"/>
  <c r="L169" i="66"/>
  <c r="H7" i="66"/>
  <c r="H7" i="74" s="1"/>
  <c r="K66" i="66"/>
  <c r="L212" i="66"/>
  <c r="L83" i="66"/>
  <c r="L83" i="74" s="1"/>
  <c r="J164" i="66"/>
  <c r="L105" i="66"/>
  <c r="L105" i="74" s="1"/>
  <c r="K118" i="66"/>
  <c r="K15" i="66"/>
  <c r="J153" i="66"/>
  <c r="J146" i="66"/>
  <c r="J24" i="66"/>
  <c r="J24" i="74" s="1"/>
  <c r="H199" i="66"/>
  <c r="H129" i="66"/>
  <c r="H129" i="74" s="1"/>
  <c r="J113" i="66"/>
  <c r="J113" i="74" s="1"/>
  <c r="K147" i="66"/>
  <c r="L201" i="66"/>
  <c r="K83" i="66"/>
  <c r="K83" i="74" s="1"/>
  <c r="K193" i="66"/>
  <c r="L86" i="66"/>
  <c r="L141" i="66"/>
  <c r="M210" i="66"/>
  <c r="K236" i="66"/>
  <c r="M106" i="66"/>
  <c r="J110" i="66"/>
  <c r="J28" i="66"/>
  <c r="J28" i="74" s="1"/>
  <c r="J268" i="66"/>
  <c r="L195" i="66"/>
  <c r="J118" i="66"/>
  <c r="J118" i="74" s="1"/>
  <c r="M211" i="66"/>
  <c r="J272" i="66"/>
  <c r="K177" i="66"/>
  <c r="L134" i="66"/>
  <c r="L134" i="74" s="1"/>
  <c r="K159" i="66"/>
  <c r="H33" i="66"/>
  <c r="L247" i="66"/>
  <c r="H261" i="66"/>
  <c r="L29" i="66"/>
  <c r="L29" i="74" s="1"/>
  <c r="K91" i="66"/>
  <c r="K40" i="66"/>
  <c r="L118" i="66"/>
  <c r="L118" i="74" s="1"/>
  <c r="H141" i="66"/>
  <c r="H141" i="74" s="1"/>
  <c r="H247" i="66"/>
  <c r="J214" i="66"/>
  <c r="K171" i="66"/>
  <c r="H34" i="66"/>
  <c r="M272" i="66"/>
  <c r="K214" i="66"/>
  <c r="H15" i="66"/>
  <c r="K88" i="66"/>
  <c r="K88" i="74" s="1"/>
  <c r="J193" i="66"/>
  <c r="J12" i="66"/>
  <c r="J12" i="74" s="1"/>
  <c r="L101" i="66"/>
  <c r="L101" i="74" s="1"/>
  <c r="J21" i="66"/>
  <c r="J21" i="74" s="1"/>
  <c r="J47" i="66"/>
  <c r="J270" i="66"/>
  <c r="H193" i="66"/>
  <c r="L193" i="66"/>
  <c r="J284" i="66"/>
  <c r="L207" i="66"/>
  <c r="M91" i="66"/>
  <c r="J6" i="66"/>
  <c r="J6" i="74" s="1"/>
  <c r="J44" i="66"/>
  <c r="K211" i="66"/>
  <c r="M244" i="66"/>
  <c r="M96" i="66"/>
  <c r="M96" i="74" s="1"/>
  <c r="K157" i="66"/>
  <c r="J72" i="66"/>
  <c r="L226" i="66"/>
  <c r="J231" i="66"/>
  <c r="M71" i="66"/>
  <c r="M71" i="74" s="1"/>
  <c r="K127" i="66"/>
  <c r="K127" i="74" s="1"/>
  <c r="K13" i="66"/>
  <c r="H281" i="66"/>
  <c r="L162" i="66"/>
  <c r="K151" i="66"/>
  <c r="K39" i="66"/>
  <c r="K39" i="74" s="1"/>
  <c r="K19" i="66"/>
  <c r="K19" i="74" s="1"/>
  <c r="K107" i="66"/>
  <c r="K107" i="74" s="1"/>
  <c r="M169" i="66"/>
  <c r="J60" i="66"/>
  <c r="J60" i="74" s="1"/>
  <c r="K129" i="66"/>
  <c r="K129" i="74" s="1"/>
  <c r="J50" i="66"/>
  <c r="J50" i="74" s="1"/>
  <c r="J14" i="66"/>
  <c r="J14" i="74" s="1"/>
  <c r="K247" i="66"/>
  <c r="M127" i="66"/>
  <c r="M127" i="74" s="1"/>
  <c r="M235" i="66"/>
  <c r="L140" i="66"/>
  <c r="L140" i="74" s="1"/>
  <c r="H135" i="66"/>
  <c r="H135" i="74" s="1"/>
  <c r="K43" i="66"/>
  <c r="L43" i="66"/>
  <c r="L43" i="74" s="1"/>
  <c r="H177" i="66"/>
  <c r="J227" i="66"/>
  <c r="M143" i="66"/>
  <c r="M143" i="74" s="1"/>
  <c r="L110" i="66"/>
  <c r="H152" i="66"/>
  <c r="M4" i="66"/>
  <c r="M4" i="74" s="1"/>
  <c r="L57" i="66"/>
  <c r="M152" i="66"/>
  <c r="J211" i="66"/>
  <c r="H219" i="66"/>
  <c r="J29" i="66"/>
  <c r="K188" i="66"/>
  <c r="J45" i="66"/>
  <c r="M49" i="66"/>
  <c r="H185" i="66"/>
  <c r="K146" i="66"/>
  <c r="J88" i="66"/>
  <c r="J88" i="74" s="1"/>
  <c r="M250" i="66"/>
  <c r="J94" i="66"/>
  <c r="J94" i="74" s="1"/>
  <c r="L232" i="66"/>
  <c r="J195" i="66"/>
  <c r="J65" i="66"/>
  <c r="J65" i="74" s="1"/>
  <c r="J159" i="66"/>
  <c r="J256" i="66"/>
  <c r="M105" i="66"/>
  <c r="L194" i="66"/>
  <c r="L221" i="66"/>
  <c r="M279" i="66"/>
  <c r="J222" i="66"/>
  <c r="K140" i="66"/>
  <c r="K143" i="66"/>
  <c r="K143" i="74" s="1"/>
  <c r="L73" i="66"/>
  <c r="H175" i="66"/>
  <c r="J41" i="66"/>
  <c r="J41" i="74" s="1"/>
  <c r="J38" i="66"/>
  <c r="J38" i="74" s="1"/>
  <c r="L49" i="66"/>
  <c r="M172" i="66"/>
  <c r="J172" i="66"/>
  <c r="M192" i="66"/>
  <c r="L186" i="66"/>
  <c r="H183" i="66"/>
  <c r="M93" i="66"/>
  <c r="M93" i="74" s="1"/>
  <c r="M207" i="66"/>
  <c r="J40" i="66"/>
  <c r="J40" i="74" s="1"/>
  <c r="L45" i="66"/>
  <c r="L45" i="74" s="1"/>
  <c r="K152" i="66"/>
  <c r="M193" i="66"/>
  <c r="H289" i="66"/>
  <c r="J91" i="66"/>
  <c r="J91" i="74" s="1"/>
  <c r="H13" i="66"/>
  <c r="H275" i="66"/>
  <c r="H207" i="66"/>
  <c r="J97" i="66"/>
  <c r="L183" i="66"/>
  <c r="K239" i="66"/>
  <c r="J157" i="66"/>
  <c r="K225" i="66"/>
  <c r="M107" i="66"/>
  <c r="M107" i="74" s="1"/>
  <c r="M221" i="66"/>
  <c r="J187" i="66"/>
  <c r="L234" i="66"/>
  <c r="H206" i="66"/>
  <c r="H205" i="66"/>
  <c r="H19" i="66"/>
  <c r="M38" i="66"/>
  <c r="M38" i="74" s="1"/>
  <c r="H145" i="66"/>
  <c r="J250" i="66"/>
  <c r="H233" i="66"/>
  <c r="M119" i="66"/>
  <c r="M119" i="74" s="1"/>
  <c r="H191" i="66"/>
  <c r="J68" i="66"/>
  <c r="J68" i="74" s="1"/>
  <c r="H51" i="66"/>
  <c r="H51" i="74" s="1"/>
  <c r="K134" i="66"/>
  <c r="K134" i="74" s="1"/>
  <c r="L48" i="66"/>
  <c r="L7" i="66"/>
  <c r="M252" i="66"/>
  <c r="M15" i="66"/>
  <c r="K173" i="66"/>
  <c r="J18" i="66"/>
  <c r="J18" i="74" s="1"/>
  <c r="K72" i="66"/>
  <c r="K72" i="74" s="1"/>
  <c r="H239" i="66"/>
  <c r="M284" i="66"/>
  <c r="M86" i="66"/>
  <c r="M86" i="74" s="1"/>
  <c r="M14" i="66"/>
  <c r="M14" i="74" s="1"/>
  <c r="L144" i="66"/>
  <c r="L144" i="74" s="1"/>
  <c r="L116" i="66"/>
  <c r="L116" i="74" s="1"/>
  <c r="K131" i="66"/>
  <c r="K131" i="74" s="1"/>
  <c r="L264" i="66"/>
  <c r="K280" i="66"/>
  <c r="M170" i="66"/>
  <c r="J22" i="66"/>
  <c r="J22" i="74" s="1"/>
  <c r="L136" i="66"/>
  <c r="H47" i="66"/>
  <c r="J280" i="66"/>
  <c r="L279" i="66"/>
  <c r="M13" i="66"/>
  <c r="M13" i="74" s="1"/>
  <c r="M274" i="66"/>
  <c r="L90" i="66"/>
  <c r="L90" i="74" s="1"/>
  <c r="L87" i="66"/>
  <c r="L87" i="74" s="1"/>
  <c r="K135" i="66"/>
  <c r="K135" i="74" s="1"/>
  <c r="K79" i="66"/>
  <c r="K79" i="74" s="1"/>
  <c r="M239" i="66"/>
  <c r="L22" i="66"/>
  <c r="L22" i="74" s="1"/>
  <c r="M214" i="66"/>
  <c r="L242" i="66"/>
  <c r="H244" i="66"/>
  <c r="M74" i="66"/>
  <c r="M74" i="74" s="1"/>
  <c r="J191" i="66"/>
  <c r="M51" i="66"/>
  <c r="J31" i="66"/>
  <c r="J31" i="74" s="1"/>
  <c r="L239" i="66"/>
  <c r="L68" i="66"/>
  <c r="L150" i="66"/>
  <c r="K259" i="66"/>
  <c r="J17" i="66"/>
  <c r="J17" i="74" s="1"/>
  <c r="M162" i="66"/>
  <c r="L161" i="66"/>
  <c r="L235" i="66"/>
  <c r="K291" i="66"/>
  <c r="M234" i="66"/>
  <c r="L266" i="66"/>
  <c r="J13" i="66"/>
  <c r="J34" i="66"/>
  <c r="J34" i="74" s="1"/>
  <c r="M134" i="66"/>
  <c r="H97" i="66"/>
  <c r="H97" i="74" s="1"/>
  <c r="M100" i="66"/>
  <c r="H131" i="66"/>
  <c r="H131" i="74" s="1"/>
  <c r="H79" i="66"/>
  <c r="H79" i="74" s="1"/>
  <c r="J147" i="66"/>
  <c r="J147" i="74" s="1"/>
  <c r="K103" i="66"/>
  <c r="K103" i="74" s="1"/>
  <c r="L244" i="66"/>
  <c r="L280" i="66"/>
  <c r="J286" i="66"/>
  <c r="K22" i="66"/>
  <c r="K22" i="74" s="1"/>
  <c r="J33" i="66"/>
  <c r="J171" i="66"/>
  <c r="J154" i="66"/>
  <c r="L208" i="66"/>
  <c r="J173" i="66"/>
  <c r="L6" i="66"/>
  <c r="L224" i="66"/>
  <c r="L240" i="66"/>
  <c r="K110" i="66"/>
  <c r="H83" i="66"/>
  <c r="H83" i="74" s="1"/>
  <c r="L159" i="66"/>
  <c r="M166" i="66"/>
  <c r="L53" i="66"/>
  <c r="L53" i="74" s="1"/>
  <c r="K55" i="66"/>
  <c r="K55" i="74" s="1"/>
  <c r="H143" i="66"/>
  <c r="H143" i="74" s="1"/>
  <c r="J162" i="66"/>
  <c r="H159" i="66"/>
  <c r="K290" i="66"/>
  <c r="K185" i="66"/>
  <c r="L51" i="66"/>
  <c r="L51" i="74" s="1"/>
  <c r="L271" i="66"/>
  <c r="K175" i="66"/>
  <c r="L236" i="66"/>
  <c r="H109" i="66"/>
  <c r="H109" i="74" s="1"/>
  <c r="J140" i="66"/>
  <c r="J140" i="74" s="1"/>
  <c r="M43" i="66"/>
  <c r="M43" i="74" s="1"/>
  <c r="M66" i="66"/>
  <c r="M66" i="74" s="1"/>
  <c r="J177" i="66"/>
  <c r="K284" i="66"/>
  <c r="K254" i="66"/>
  <c r="J42" i="66"/>
  <c r="J42" i="74" s="1"/>
  <c r="M139" i="66"/>
  <c r="M139" i="74" s="1"/>
  <c r="H14" i="66"/>
  <c r="H14" i="74" s="1"/>
  <c r="J142" i="66"/>
  <c r="J142" i="74" s="1"/>
  <c r="L155" i="66"/>
  <c r="H168" i="66"/>
  <c r="J69" i="66"/>
  <c r="J69" i="74" s="1"/>
  <c r="L34" i="66"/>
  <c r="M87" i="66"/>
  <c r="H9" i="66"/>
  <c r="H9" i="74" s="1"/>
  <c r="J25" i="66"/>
  <c r="J25" i="74" s="1"/>
  <c r="L168" i="66"/>
  <c r="J123" i="66"/>
  <c r="J123" i="74" s="1"/>
  <c r="H283" i="66"/>
  <c r="M31" i="66"/>
  <c r="M31" i="74" s="1"/>
  <c r="L95" i="66"/>
  <c r="L95" i="74" s="1"/>
  <c r="M236" i="66"/>
  <c r="M219" i="66"/>
  <c r="J46" i="66"/>
  <c r="J46" i="74" s="1"/>
  <c r="L192" i="66"/>
  <c r="L167" i="66"/>
  <c r="K184" i="66"/>
  <c r="J248" i="66"/>
  <c r="L188" i="66"/>
  <c r="M108" i="66"/>
  <c r="M108" i="74" s="1"/>
  <c r="M57" i="66"/>
  <c r="M57" i="74" s="1"/>
  <c r="J44" i="74" l="1"/>
  <c r="N48" i="74"/>
  <c r="K18" i="74"/>
  <c r="M106" i="74"/>
  <c r="L34" i="74"/>
  <c r="H19" i="74"/>
  <c r="H33" i="74"/>
  <c r="J77" i="74"/>
  <c r="N18" i="74"/>
  <c r="K43" i="74"/>
  <c r="M78" i="74"/>
  <c r="M130" i="74"/>
  <c r="J108" i="74"/>
  <c r="M56" i="74"/>
  <c r="J16" i="74"/>
  <c r="M10" i="74"/>
  <c r="L143" i="74"/>
  <c r="K35" i="74"/>
  <c r="N128" i="74"/>
  <c r="N44" i="74"/>
  <c r="N82" i="74"/>
  <c r="N60" i="74"/>
  <c r="M91" i="74"/>
  <c r="J114" i="74"/>
  <c r="K53" i="74"/>
  <c r="N55" i="74"/>
  <c r="J75" i="74"/>
  <c r="K84" i="74"/>
  <c r="N81" i="74"/>
  <c r="H84" i="74"/>
  <c r="N62" i="74"/>
  <c r="J13" i="74"/>
  <c r="L49" i="74"/>
  <c r="M75" i="74"/>
  <c r="H35" i="74"/>
  <c r="M70" i="74"/>
  <c r="K92" i="74"/>
  <c r="K34" i="74"/>
  <c r="H72" i="74"/>
  <c r="L85" i="74"/>
  <c r="N107" i="74"/>
  <c r="N120" i="74"/>
  <c r="N118" i="74"/>
  <c r="K110" i="74"/>
  <c r="J29" i="74"/>
  <c r="J23" i="74"/>
  <c r="M33" i="74"/>
  <c r="S33" i="74" s="1"/>
  <c r="K47" i="74"/>
  <c r="J134" i="74"/>
  <c r="K37" i="74"/>
  <c r="N23" i="74"/>
  <c r="N127" i="74"/>
  <c r="N75" i="74"/>
  <c r="H24" i="74"/>
  <c r="J20" i="74"/>
  <c r="L122" i="74"/>
  <c r="L11" i="74"/>
  <c r="L77" i="74"/>
  <c r="J144" i="74"/>
  <c r="H63" i="74"/>
  <c r="L114" i="74"/>
  <c r="K125" i="74"/>
  <c r="K5" i="74"/>
  <c r="K36" i="74"/>
  <c r="N4" i="74"/>
  <c r="N115" i="74"/>
  <c r="N101" i="74"/>
  <c r="N93" i="74"/>
  <c r="K40" i="74"/>
  <c r="K25" i="74"/>
  <c r="M123" i="74"/>
  <c r="M72" i="74"/>
  <c r="K61" i="74"/>
  <c r="J76" i="74"/>
  <c r="K99" i="74"/>
  <c r="M81" i="74"/>
  <c r="H55" i="74"/>
  <c r="M23" i="74"/>
  <c r="J96" i="74"/>
  <c r="N47" i="74"/>
  <c r="N132" i="74"/>
  <c r="N43" i="74"/>
  <c r="N27" i="74"/>
  <c r="N130" i="74"/>
  <c r="L57" i="74"/>
  <c r="X88" i="74"/>
  <c r="T88" i="74"/>
  <c r="M100" i="74"/>
  <c r="H145" i="74"/>
  <c r="K140" i="74"/>
  <c r="K13" i="74"/>
  <c r="H15" i="74"/>
  <c r="J110" i="74"/>
  <c r="H8" i="74"/>
  <c r="L71" i="74"/>
  <c r="J15" i="74"/>
  <c r="L119" i="74"/>
  <c r="J125" i="74"/>
  <c r="J54" i="74"/>
  <c r="L82" i="74"/>
  <c r="M115" i="74"/>
  <c r="L88" i="74"/>
  <c r="L117" i="74"/>
  <c r="J131" i="74"/>
  <c r="J63" i="74"/>
  <c r="L24" i="74"/>
  <c r="K81" i="74"/>
  <c r="M122" i="74"/>
  <c r="M112" i="74"/>
  <c r="H105" i="74"/>
  <c r="T53" i="74"/>
  <c r="Q53" i="74"/>
  <c r="W53" i="74" s="1"/>
  <c r="Y53" i="74" s="1"/>
  <c r="X53" i="74"/>
  <c r="S53" i="74"/>
  <c r="M126" i="74"/>
  <c r="J64" i="74"/>
  <c r="L93" i="74"/>
  <c r="K49" i="74"/>
  <c r="K51" i="74"/>
  <c r="J52" i="74"/>
  <c r="K85" i="74"/>
  <c r="L133" i="74"/>
  <c r="N143" i="74"/>
  <c r="N49" i="74"/>
  <c r="N112" i="74"/>
  <c r="N22" i="74"/>
  <c r="N91" i="74"/>
  <c r="N144" i="74"/>
  <c r="K31" i="74"/>
  <c r="L17" i="74"/>
  <c r="J97" i="74"/>
  <c r="T127" i="74"/>
  <c r="Q127" i="74"/>
  <c r="W127" i="74" s="1"/>
  <c r="X127" i="74"/>
  <c r="S127" i="74"/>
  <c r="M142" i="74"/>
  <c r="Q4" i="74"/>
  <c r="W4" i="74" s="1"/>
  <c r="X4" i="74"/>
  <c r="S4" i="74"/>
  <c r="T4" i="74"/>
  <c r="J86" i="74"/>
  <c r="J66" i="74"/>
  <c r="H86" i="74"/>
  <c r="L18" i="74"/>
  <c r="L9" i="74"/>
  <c r="L44" i="74"/>
  <c r="X18" i="74"/>
  <c r="T18" i="74"/>
  <c r="X14" i="74"/>
  <c r="S14" i="74"/>
  <c r="T14" i="74"/>
  <c r="Q14" i="74"/>
  <c r="W14" i="74" s="1"/>
  <c r="K98" i="74"/>
  <c r="H127" i="74"/>
  <c r="H117" i="74"/>
  <c r="K44" i="74"/>
  <c r="H139" i="74"/>
  <c r="L15" i="74"/>
  <c r="J78" i="74"/>
  <c r="M9" i="74"/>
  <c r="M48" i="74"/>
  <c r="J138" i="74"/>
  <c r="K38" i="74"/>
  <c r="K11" i="74"/>
  <c r="J56" i="74"/>
  <c r="L36" i="74"/>
  <c r="J36" i="74"/>
  <c r="H4" i="74"/>
  <c r="N8" i="74"/>
  <c r="N11" i="74"/>
  <c r="N124" i="74"/>
  <c r="N37" i="74"/>
  <c r="H104" i="74"/>
  <c r="X33" i="74"/>
  <c r="T33" i="74"/>
  <c r="Q114" i="74"/>
  <c r="W114" i="74" s="1"/>
  <c r="X114" i="74"/>
  <c r="T114" i="74"/>
  <c r="S114" i="74"/>
  <c r="M87" i="74"/>
  <c r="M134" i="74"/>
  <c r="L68" i="74"/>
  <c r="X135" i="74"/>
  <c r="T135" i="74"/>
  <c r="K146" i="74"/>
  <c r="L110" i="74"/>
  <c r="J146" i="74"/>
  <c r="M34" i="74"/>
  <c r="Q34" i="74" s="1"/>
  <c r="W34" i="74" s="1"/>
  <c r="M141" i="74"/>
  <c r="H41" i="74"/>
  <c r="J83" i="74"/>
  <c r="J49" i="74"/>
  <c r="K82" i="74"/>
  <c r="J106" i="74"/>
  <c r="J48" i="74"/>
  <c r="J10" i="74"/>
  <c r="K123" i="74"/>
  <c r="K29" i="74"/>
  <c r="M24" i="74"/>
  <c r="J30" i="74"/>
  <c r="J99" i="74"/>
  <c r="K130" i="74"/>
  <c r="M76" i="74"/>
  <c r="L89" i="74"/>
  <c r="M77" i="74"/>
  <c r="L41" i="74"/>
  <c r="J130" i="74"/>
  <c r="J145" i="74"/>
  <c r="M26" i="74"/>
  <c r="L131" i="74"/>
  <c r="H81" i="74"/>
  <c r="J57" i="74"/>
  <c r="M42" i="74"/>
  <c r="J101" i="74"/>
  <c r="X84" i="74"/>
  <c r="T84" i="74"/>
  <c r="N24" i="74"/>
  <c r="N19" i="74"/>
  <c r="N15" i="74"/>
  <c r="N106" i="74"/>
  <c r="N14" i="74"/>
  <c r="N114" i="74"/>
  <c r="N136" i="74"/>
  <c r="N126" i="74"/>
  <c r="N57" i="74"/>
  <c r="T110" i="74"/>
  <c r="X110" i="74"/>
  <c r="K77" i="74"/>
  <c r="M104" i="74"/>
  <c r="M140" i="74"/>
  <c r="X35" i="74"/>
  <c r="T35" i="74"/>
  <c r="J33" i="74"/>
  <c r="L7" i="74"/>
  <c r="Q129" i="74"/>
  <c r="W129" i="74" s="1"/>
  <c r="Y129" i="74" s="1"/>
  <c r="X129" i="74"/>
  <c r="S129" i="74"/>
  <c r="U129" i="74" s="1"/>
  <c r="T129" i="74"/>
  <c r="H34" i="74"/>
  <c r="L42" i="74"/>
  <c r="L100" i="74"/>
  <c r="M95" i="74"/>
  <c r="L25" i="74"/>
  <c r="H39" i="74"/>
  <c r="L103" i="74"/>
  <c r="L98" i="74"/>
  <c r="H49" i="74"/>
  <c r="J90" i="74"/>
  <c r="M92" i="74"/>
  <c r="S92" i="74" s="1"/>
  <c r="L120" i="74"/>
  <c r="J79" i="74"/>
  <c r="J137" i="74"/>
  <c r="K63" i="74"/>
  <c r="H57" i="74"/>
  <c r="M63" i="74"/>
  <c r="H130" i="74"/>
  <c r="M97" i="74"/>
  <c r="H50" i="74"/>
  <c r="L4" i="74"/>
  <c r="M19" i="74"/>
  <c r="H61" i="74"/>
  <c r="L84" i="74"/>
  <c r="N134" i="74"/>
  <c r="N145" i="74"/>
  <c r="N138" i="74"/>
  <c r="N71" i="74"/>
  <c r="X143" i="74"/>
  <c r="T143" i="74"/>
  <c r="S143" i="74"/>
  <c r="Q143" i="74"/>
  <c r="W143" i="74" s="1"/>
  <c r="J115" i="74"/>
  <c r="S79" i="74"/>
  <c r="X79" i="74"/>
  <c r="T79" i="74"/>
  <c r="Q79" i="74"/>
  <c r="W79" i="74" s="1"/>
  <c r="L48" i="74"/>
  <c r="H13" i="74"/>
  <c r="M49" i="74"/>
  <c r="L141" i="74"/>
  <c r="K15" i="74"/>
  <c r="H103" i="74"/>
  <c r="H31" i="74"/>
  <c r="L20" i="74"/>
  <c r="J26" i="74"/>
  <c r="J35" i="74"/>
  <c r="K104" i="74"/>
  <c r="L40" i="74"/>
  <c r="M88" i="74"/>
  <c r="Q88" i="74" s="1"/>
  <c r="W88" i="74" s="1"/>
  <c r="Y88" i="74" s="1"/>
  <c r="H112" i="74"/>
  <c r="K75" i="74"/>
  <c r="M67" i="74"/>
  <c r="J11" i="74"/>
  <c r="J92" i="74"/>
  <c r="M60" i="74"/>
  <c r="J117" i="74"/>
  <c r="L121" i="74"/>
  <c r="M128" i="74"/>
  <c r="H93" i="74"/>
  <c r="L137" i="74"/>
  <c r="J19" i="74"/>
  <c r="K59" i="74"/>
  <c r="H147" i="74"/>
  <c r="L69" i="74"/>
  <c r="M110" i="74"/>
  <c r="Q110" i="74" s="1"/>
  <c r="W110" i="74" s="1"/>
  <c r="Y110" i="74" s="1"/>
  <c r="J104" i="74"/>
  <c r="J98" i="74"/>
  <c r="H27" i="74"/>
  <c r="H21" i="74"/>
  <c r="H36" i="74"/>
  <c r="N45" i="74"/>
  <c r="N10" i="74"/>
  <c r="N25" i="74"/>
  <c r="N95" i="74"/>
  <c r="N79" i="74"/>
  <c r="J47" i="74"/>
  <c r="M15" i="74"/>
  <c r="T131" i="74"/>
  <c r="X131" i="74"/>
  <c r="X22" i="74"/>
  <c r="T22" i="74"/>
  <c r="T134" i="74"/>
  <c r="X134" i="74"/>
  <c r="Q134" i="74"/>
  <c r="W134" i="74" s="1"/>
  <c r="S134" i="74"/>
  <c r="M105" i="74"/>
  <c r="J45" i="74"/>
  <c r="J72" i="74"/>
  <c r="L86" i="74"/>
  <c r="K118" i="74"/>
  <c r="J102" i="74"/>
  <c r="M28" i="74"/>
  <c r="H87" i="74"/>
  <c r="H82" i="74"/>
  <c r="L64" i="74"/>
  <c r="L50" i="74"/>
  <c r="M80" i="74"/>
  <c r="T87" i="74"/>
  <c r="Q87" i="74"/>
  <c r="W87" i="74" s="1"/>
  <c r="X87" i="74"/>
  <c r="S87" i="74"/>
  <c r="L26" i="74"/>
  <c r="J58" i="74"/>
  <c r="H75" i="74"/>
  <c r="L109" i="74"/>
  <c r="M25" i="74"/>
  <c r="S25" i="74" s="1"/>
  <c r="K112" i="74"/>
  <c r="K109" i="74"/>
  <c r="M125" i="74"/>
  <c r="Q125" i="74" s="1"/>
  <c r="W125" i="74" s="1"/>
  <c r="L107" i="74"/>
  <c r="H67" i="74"/>
  <c r="K41" i="74"/>
  <c r="L59" i="74"/>
  <c r="L38" i="74"/>
  <c r="M145" i="74"/>
  <c r="Q145" i="74" s="1"/>
  <c r="H64" i="74"/>
  <c r="K67" i="74"/>
  <c r="J80" i="74"/>
  <c r="L37" i="74"/>
  <c r="J85" i="74"/>
  <c r="N32" i="74"/>
  <c r="N38" i="74"/>
  <c r="N29" i="74"/>
  <c r="N142" i="74"/>
  <c r="N121" i="74"/>
  <c r="N72" i="74"/>
  <c r="N122" i="74"/>
  <c r="N64" i="74"/>
  <c r="Q107" i="74"/>
  <c r="W107" i="74" s="1"/>
  <c r="S107" i="74"/>
  <c r="U107" i="74" s="1"/>
  <c r="T107" i="74"/>
  <c r="X107" i="74"/>
  <c r="Q111" i="74"/>
  <c r="W111" i="74" s="1"/>
  <c r="Y111" i="74" s="1"/>
  <c r="X111" i="74"/>
  <c r="S111" i="74"/>
  <c r="T111" i="74"/>
  <c r="L91" i="74"/>
  <c r="M94" i="74"/>
  <c r="T24" i="74"/>
  <c r="Q24" i="74"/>
  <c r="W24" i="74" s="1"/>
  <c r="S24" i="74"/>
  <c r="X24" i="74"/>
  <c r="M32" i="74"/>
  <c r="L62" i="74"/>
  <c r="M124" i="74"/>
  <c r="M11" i="74"/>
  <c r="T64" i="74"/>
  <c r="X64" i="74"/>
  <c r="T92" i="74"/>
  <c r="X92" i="74"/>
  <c r="J136" i="74"/>
  <c r="M61" i="74"/>
  <c r="M101" i="74"/>
  <c r="Q101" i="74" s="1"/>
  <c r="W101" i="74" s="1"/>
  <c r="L115" i="74"/>
  <c r="K27" i="74"/>
  <c r="S52" i="74"/>
  <c r="Q52" i="74"/>
  <c r="W52" i="74" s="1"/>
  <c r="X52" i="74"/>
  <c r="T52" i="74"/>
  <c r="X34" i="74"/>
  <c r="T34" i="74"/>
  <c r="S34" i="74"/>
  <c r="H100" i="74"/>
  <c r="M8" i="74"/>
  <c r="J128" i="74"/>
  <c r="N141" i="74"/>
  <c r="N109" i="74"/>
  <c r="Q43" i="74"/>
  <c r="W43" i="74" s="1"/>
  <c r="X43" i="74"/>
  <c r="T43" i="74"/>
  <c r="S43" i="74"/>
  <c r="S19" i="74"/>
  <c r="T19" i="74"/>
  <c r="Q19" i="74"/>
  <c r="W19" i="74" s="1"/>
  <c r="X19" i="74"/>
  <c r="X83" i="74"/>
  <c r="T83" i="74"/>
  <c r="J105" i="74"/>
  <c r="M90" i="74"/>
  <c r="S86" i="74"/>
  <c r="Q86" i="74"/>
  <c r="W86" i="74" s="1"/>
  <c r="X86" i="74"/>
  <c r="T86" i="74"/>
  <c r="X100" i="74"/>
  <c r="Q100" i="74"/>
  <c r="W100" i="74" s="1"/>
  <c r="T100" i="74"/>
  <c r="S100" i="74"/>
  <c r="U100" i="74" s="1"/>
  <c r="J8" i="74"/>
  <c r="H95" i="74"/>
  <c r="J103" i="74"/>
  <c r="L92" i="74"/>
  <c r="J27" i="74"/>
  <c r="M47" i="74"/>
  <c r="S47" i="74" s="1"/>
  <c r="M135" i="74"/>
  <c r="Q135" i="74" s="1"/>
  <c r="W135" i="74" s="1"/>
  <c r="Y135" i="74" s="1"/>
  <c r="M120" i="74"/>
  <c r="X47" i="74"/>
  <c r="T47" i="74"/>
  <c r="M18" i="74"/>
  <c r="S18" i="74" s="1"/>
  <c r="U18" i="74" s="1"/>
  <c r="L23" i="74"/>
  <c r="M46" i="74"/>
  <c r="L139" i="74"/>
  <c r="K50" i="74"/>
  <c r="M40" i="74"/>
  <c r="S40" i="74" s="1"/>
  <c r="U40" i="74" s="1"/>
  <c r="L128" i="74"/>
  <c r="X37" i="74"/>
  <c r="T37" i="74"/>
  <c r="N42" i="74"/>
  <c r="N31" i="74"/>
  <c r="N76" i="74"/>
  <c r="T73" i="74"/>
  <c r="S73" i="74"/>
  <c r="Q73" i="74"/>
  <c r="W73" i="74" s="1"/>
  <c r="X73" i="74"/>
  <c r="X16" i="74"/>
  <c r="T16" i="74"/>
  <c r="Q16" i="74"/>
  <c r="W16" i="74" s="1"/>
  <c r="M121" i="74"/>
  <c r="S121" i="74" s="1"/>
  <c r="J51" i="74"/>
  <c r="J95" i="74"/>
  <c r="T97" i="74"/>
  <c r="Q97" i="74"/>
  <c r="X97" i="74"/>
  <c r="H62" i="74"/>
  <c r="T125" i="74"/>
  <c r="X125" i="74"/>
  <c r="S125" i="74"/>
  <c r="T5" i="74"/>
  <c r="X5" i="74"/>
  <c r="Q5" i="74"/>
  <c r="W5" i="74" s="1"/>
  <c r="S5" i="74"/>
  <c r="M16" i="74"/>
  <c r="AC16" i="74" s="1"/>
  <c r="AD16" i="74" s="1"/>
  <c r="M44" i="74"/>
  <c r="K136" i="74"/>
  <c r="K7" i="74"/>
  <c r="X36" i="74"/>
  <c r="T36" i="74"/>
  <c r="X133" i="74"/>
  <c r="T133" i="74"/>
  <c r="X39" i="74"/>
  <c r="S39" i="74"/>
  <c r="Q39" i="74"/>
  <c r="W39" i="74" s="1"/>
  <c r="T39" i="74"/>
  <c r="H47" i="74"/>
  <c r="X40" i="74"/>
  <c r="T40" i="74"/>
  <c r="T145" i="74"/>
  <c r="X145" i="74"/>
  <c r="X101" i="74"/>
  <c r="T101" i="74"/>
  <c r="J43" i="74"/>
  <c r="T61" i="74"/>
  <c r="X61" i="74"/>
  <c r="S61" i="74"/>
  <c r="Q61" i="74"/>
  <c r="W61" i="74" s="1"/>
  <c r="M136" i="74"/>
  <c r="J9" i="74"/>
  <c r="J61" i="74"/>
  <c r="J107" i="74"/>
  <c r="H133" i="74"/>
  <c r="K147" i="74"/>
  <c r="X25" i="74"/>
  <c r="T25" i="74"/>
  <c r="L96" i="74"/>
  <c r="Q121" i="74"/>
  <c r="W121" i="74" s="1"/>
  <c r="T121" i="74"/>
  <c r="X121" i="74"/>
  <c r="L6" i="74"/>
  <c r="L136" i="74"/>
  <c r="Q72" i="74"/>
  <c r="W72" i="74" s="1"/>
  <c r="T72" i="74"/>
  <c r="X72" i="74"/>
  <c r="S72" i="74"/>
  <c r="L73" i="74"/>
  <c r="K91" i="74"/>
  <c r="K66" i="74"/>
  <c r="K8" i="74"/>
  <c r="L47" i="74"/>
  <c r="H91" i="74"/>
  <c r="L135" i="74"/>
  <c r="L127" i="74"/>
  <c r="L78" i="74"/>
  <c r="K62" i="74"/>
  <c r="T139" i="74"/>
  <c r="X139" i="74"/>
  <c r="Q139" i="74"/>
  <c r="W139" i="74" s="1"/>
  <c r="S139" i="74"/>
  <c r="L66" i="74"/>
  <c r="L111" i="74"/>
  <c r="J32" i="74"/>
  <c r="M22" i="74"/>
  <c r="S22" i="74" s="1"/>
  <c r="U22" i="74" s="1"/>
  <c r="L80" i="74"/>
  <c r="H146" i="74"/>
  <c r="X89" i="74"/>
  <c r="T89" i="74"/>
  <c r="M30" i="74"/>
  <c r="H137" i="74"/>
  <c r="J112" i="74"/>
  <c r="L63" i="74"/>
  <c r="L130" i="74"/>
  <c r="L129" i="74"/>
  <c r="K137" i="74"/>
  <c r="K115" i="74"/>
  <c r="J70" i="74"/>
  <c r="L145" i="74"/>
  <c r="K120" i="74"/>
  <c r="M64" i="74"/>
  <c r="Q64" i="74" s="1"/>
  <c r="K70" i="74"/>
  <c r="L113" i="74"/>
  <c r="L14" i="74"/>
  <c r="H89" i="74"/>
  <c r="J124" i="74"/>
  <c r="J121" i="74"/>
  <c r="J53" i="74"/>
  <c r="K95" i="74"/>
  <c r="J122" i="74"/>
  <c r="J143" i="74"/>
  <c r="J4" i="74"/>
  <c r="J74" i="74"/>
  <c r="J67" i="74"/>
  <c r="X132" i="74"/>
  <c r="T132" i="74"/>
  <c r="H132" i="74"/>
  <c r="N123" i="74"/>
  <c r="N104" i="74"/>
  <c r="N105" i="74"/>
  <c r="N40" i="74"/>
  <c r="N103" i="74"/>
  <c r="N140" i="74"/>
  <c r="N86" i="74"/>
  <c r="N94" i="74"/>
  <c r="AB289" i="66"/>
  <c r="AB97" i="66"/>
  <c r="AC97" i="66" s="1"/>
  <c r="AB145" i="66"/>
  <c r="AC145" i="66" s="1"/>
  <c r="AB256" i="66"/>
  <c r="AC256" i="66" s="1"/>
  <c r="AB241" i="66"/>
  <c r="AC241" i="66" s="1"/>
  <c r="AB16" i="66"/>
  <c r="AC16" i="66" s="1"/>
  <c r="AB49" i="66"/>
  <c r="AC49" i="66" s="1"/>
  <c r="AB193" i="66"/>
  <c r="AC193" i="66" s="1"/>
  <c r="AB112" i="66"/>
  <c r="AC112" i="66" s="1"/>
  <c r="AB208" i="66"/>
  <c r="AC208" i="66" s="1"/>
  <c r="AB160" i="66"/>
  <c r="AC160" i="66" s="1"/>
  <c r="AB64" i="66"/>
  <c r="AC64" i="66" s="1"/>
  <c r="AC289" i="66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6" i="72" a="1"/>
  <c r="D196" i="72" s="1"/>
  <c r="G26" i="39"/>
  <c r="F26" i="39"/>
  <c r="X276" i="66"/>
  <c r="T276" i="66"/>
  <c r="T36" i="66"/>
  <c r="X36" i="66"/>
  <c r="X85" i="66"/>
  <c r="T85" i="66"/>
  <c r="X228" i="66"/>
  <c r="T228" i="66"/>
  <c r="T84" i="66"/>
  <c r="X84" i="66"/>
  <c r="T181" i="66"/>
  <c r="X181" i="66"/>
  <c r="T277" i="66"/>
  <c r="X277" i="66"/>
  <c r="T180" i="66"/>
  <c r="X180" i="66"/>
  <c r="X229" i="66"/>
  <c r="T229" i="66"/>
  <c r="T133" i="66"/>
  <c r="X133" i="66"/>
  <c r="X37" i="66"/>
  <c r="T37" i="66"/>
  <c r="T132" i="66"/>
  <c r="X132" i="66"/>
  <c r="O145" i="66"/>
  <c r="O97" i="66"/>
  <c r="Q280" i="66"/>
  <c r="Q134" i="66"/>
  <c r="W134" i="66" s="1"/>
  <c r="X134" i="66"/>
  <c r="Q39" i="66"/>
  <c r="X177" i="66"/>
  <c r="Q177" i="66"/>
  <c r="W177" i="66" s="1"/>
  <c r="X236" i="66"/>
  <c r="Q236" i="66"/>
  <c r="W236" i="66" s="1"/>
  <c r="X66" i="66"/>
  <c r="Q66" i="66"/>
  <c r="W66" i="66" s="1"/>
  <c r="Q169" i="66"/>
  <c r="Q100" i="66"/>
  <c r="W100" i="66" s="1"/>
  <c r="X100" i="66"/>
  <c r="Q206" i="66"/>
  <c r="W206" i="66" s="1"/>
  <c r="X206" i="66"/>
  <c r="X14" i="66"/>
  <c r="Q14" i="66"/>
  <c r="W14" i="66" s="1"/>
  <c r="O16" i="66"/>
  <c r="Q219" i="66"/>
  <c r="W219" i="66" s="1"/>
  <c r="X219" i="66"/>
  <c r="X262" i="66"/>
  <c r="Q262" i="66"/>
  <c r="W262" i="66" s="1"/>
  <c r="Q64" i="66"/>
  <c r="Q81" i="66"/>
  <c r="W81" i="66" s="1"/>
  <c r="X81" i="66"/>
  <c r="Q271" i="66"/>
  <c r="W271" i="66" s="1"/>
  <c r="X271" i="66"/>
  <c r="Q136" i="66"/>
  <c r="Q11" i="66"/>
  <c r="W11" i="66" s="1"/>
  <c r="X11" i="66"/>
  <c r="Q67" i="66"/>
  <c r="W67" i="66" s="1"/>
  <c r="X67" i="66"/>
  <c r="X103" i="66"/>
  <c r="X259" i="66"/>
  <c r="Q259" i="66"/>
  <c r="W259" i="66" s="1"/>
  <c r="X72" i="66"/>
  <c r="Q72" i="66"/>
  <c r="W72" i="66" s="1"/>
  <c r="Q239" i="66"/>
  <c r="W239" i="66" s="1"/>
  <c r="X239" i="66"/>
  <c r="X151" i="66"/>
  <c r="X171" i="66"/>
  <c r="Q171" i="66"/>
  <c r="W171" i="66" s="1"/>
  <c r="Q8" i="66"/>
  <c r="W8" i="66" s="1"/>
  <c r="X8" i="66"/>
  <c r="Q232" i="66"/>
  <c r="Q33" i="66"/>
  <c r="W33" i="66" s="1"/>
  <c r="X33" i="66"/>
  <c r="Q25" i="66"/>
  <c r="X18" i="66"/>
  <c r="Q18" i="66"/>
  <c r="W18" i="66" s="1"/>
  <c r="Q158" i="66"/>
  <c r="W158" i="66" s="1"/>
  <c r="X158" i="66"/>
  <c r="Q251" i="66"/>
  <c r="W251" i="66" s="1"/>
  <c r="X251" i="66"/>
  <c r="Q265" i="66"/>
  <c r="Q264" i="66"/>
  <c r="W264" i="66" s="1"/>
  <c r="X264" i="66"/>
  <c r="Q287" i="66"/>
  <c r="W287" i="66" s="1"/>
  <c r="X287" i="66"/>
  <c r="X95" i="66"/>
  <c r="Q95" i="66"/>
  <c r="W95" i="66" s="1"/>
  <c r="Q143" i="66"/>
  <c r="W143" i="66" s="1"/>
  <c r="X143" i="66"/>
  <c r="X247" i="66"/>
  <c r="Q15" i="66"/>
  <c r="W15" i="66" s="1"/>
  <c r="X15" i="66"/>
  <c r="Q4" i="66"/>
  <c r="W4" i="66" s="1"/>
  <c r="X4" i="66"/>
  <c r="X223" i="66"/>
  <c r="Q223" i="66"/>
  <c r="W223" i="66" s="1"/>
  <c r="X63" i="66"/>
  <c r="Q63" i="66"/>
  <c r="W63" i="66" s="1"/>
  <c r="X92" i="66"/>
  <c r="Q92" i="66"/>
  <c r="W92" i="66" s="1"/>
  <c r="X130" i="66"/>
  <c r="Q130" i="66"/>
  <c r="W130" i="66" s="1"/>
  <c r="X44" i="66"/>
  <c r="Q44" i="66"/>
  <c r="W44" i="66" s="1"/>
  <c r="X99" i="66"/>
  <c r="Q47" i="66"/>
  <c r="W47" i="66" s="1"/>
  <c r="X47" i="66"/>
  <c r="Q53" i="66"/>
  <c r="X199" i="66"/>
  <c r="X38" i="66"/>
  <c r="Q38" i="66"/>
  <c r="W38" i="66" s="1"/>
  <c r="X284" i="66"/>
  <c r="Q284" i="66"/>
  <c r="W284" i="66" s="1"/>
  <c r="Q79" i="66"/>
  <c r="W79" i="66" s="1"/>
  <c r="X79" i="66"/>
  <c r="Q152" i="66"/>
  <c r="W152" i="66" s="1"/>
  <c r="X152" i="66"/>
  <c r="Q140" i="66"/>
  <c r="W140" i="66" s="1"/>
  <c r="X140" i="66"/>
  <c r="Q188" i="66"/>
  <c r="W188" i="66" s="1"/>
  <c r="X188" i="66"/>
  <c r="Q118" i="66"/>
  <c r="W118" i="66" s="1"/>
  <c r="X118" i="66"/>
  <c r="X243" i="66"/>
  <c r="Q210" i="66"/>
  <c r="W210" i="66" s="1"/>
  <c r="X210" i="66"/>
  <c r="Q139" i="66"/>
  <c r="W139" i="66" s="1"/>
  <c r="X139" i="66"/>
  <c r="Q87" i="66"/>
  <c r="Q24" i="66"/>
  <c r="W24" i="66" s="1"/>
  <c r="X24" i="66"/>
  <c r="Q217" i="66"/>
  <c r="Q269" i="66"/>
  <c r="W269" i="66" s="1"/>
  <c r="X269" i="66"/>
  <c r="Q61" i="66"/>
  <c r="W61" i="66" s="1"/>
  <c r="X61" i="66"/>
  <c r="X205" i="66"/>
  <c r="Q205" i="66"/>
  <c r="W205" i="66" s="1"/>
  <c r="Q160" i="66"/>
  <c r="Q125" i="66"/>
  <c r="W125" i="66" s="1"/>
  <c r="X125" i="66"/>
  <c r="X27" i="66"/>
  <c r="Q27" i="66"/>
  <c r="W27" i="66" s="1"/>
  <c r="Q208" i="66"/>
  <c r="X7" i="66"/>
  <c r="Q88" i="66"/>
  <c r="Q193" i="66"/>
  <c r="W193" i="66" s="1"/>
  <c r="X193" i="66"/>
  <c r="X203" i="66"/>
  <c r="Q203" i="66"/>
  <c r="W203" i="66" s="1"/>
  <c r="Q29" i="66"/>
  <c r="W29" i="66" s="1"/>
  <c r="X29" i="66"/>
  <c r="X77" i="66"/>
  <c r="Q77" i="66"/>
  <c r="W77" i="66" s="1"/>
  <c r="Q216" i="66"/>
  <c r="W216" i="66" s="1"/>
  <c r="X216" i="66"/>
  <c r="Q253" i="66"/>
  <c r="W253" i="66" s="1"/>
  <c r="X253" i="66"/>
  <c r="Q148" i="66"/>
  <c r="W148" i="66" s="1"/>
  <c r="X148" i="66"/>
  <c r="Q34" i="66"/>
  <c r="W34" i="66" s="1"/>
  <c r="X34" i="66"/>
  <c r="Q226" i="66"/>
  <c r="W226" i="66" s="1"/>
  <c r="X226" i="66"/>
  <c r="X291" i="66"/>
  <c r="Q135" i="66"/>
  <c r="X157" i="66"/>
  <c r="Q157" i="66"/>
  <c r="W157" i="66" s="1"/>
  <c r="X111" i="66"/>
  <c r="Q111" i="66"/>
  <c r="W111" i="66" s="1"/>
  <c r="Q56" i="66"/>
  <c r="W56" i="66" s="1"/>
  <c r="X56" i="66"/>
  <c r="Q187" i="66"/>
  <c r="W187" i="66" s="1"/>
  <c r="X187" i="66"/>
  <c r="Q162" i="66"/>
  <c r="W162" i="66" s="1"/>
  <c r="X162" i="66"/>
  <c r="Q191" i="66"/>
  <c r="W191" i="66" s="1"/>
  <c r="X191" i="66"/>
  <c r="Q279" i="66"/>
  <c r="Q256" i="66"/>
  <c r="Q197" i="66"/>
  <c r="Q254" i="66"/>
  <c r="W254" i="66" s="1"/>
  <c r="X254" i="66"/>
  <c r="Q173" i="66"/>
  <c r="W173" i="66" s="1"/>
  <c r="X173" i="66"/>
  <c r="X43" i="66"/>
  <c r="Q43" i="66"/>
  <c r="W43" i="66" s="1"/>
  <c r="Q214" i="66"/>
  <c r="W214" i="66" s="1"/>
  <c r="X214" i="66"/>
  <c r="Q104" i="66"/>
  <c r="W104" i="66" s="1"/>
  <c r="X104" i="66"/>
  <c r="Q163" i="66"/>
  <c r="W163" i="66" s="1"/>
  <c r="X163" i="66"/>
  <c r="Q178" i="66"/>
  <c r="W178" i="66" s="1"/>
  <c r="X178" i="66"/>
  <c r="X75" i="66"/>
  <c r="Q75" i="66"/>
  <c r="W75" i="66" s="1"/>
  <c r="Q121" i="66"/>
  <c r="X200" i="66"/>
  <c r="Q200" i="66"/>
  <c r="W200" i="66" s="1"/>
  <c r="X109" i="66"/>
  <c r="Q109" i="66"/>
  <c r="W109" i="66" s="1"/>
  <c r="Q196" i="66"/>
  <c r="W196" i="66" s="1"/>
  <c r="X196" i="66"/>
  <c r="Q129" i="66"/>
  <c r="W129" i="66" s="1"/>
  <c r="X129" i="66"/>
  <c r="O193" i="66"/>
  <c r="Q159" i="66"/>
  <c r="W159" i="66" s="1"/>
  <c r="X159" i="66"/>
  <c r="X147" i="66"/>
  <c r="X207" i="66"/>
  <c r="Q207" i="66"/>
  <c r="W207" i="66" s="1"/>
  <c r="X31" i="66"/>
  <c r="Q31" i="66"/>
  <c r="W31" i="66" s="1"/>
  <c r="Q86" i="66"/>
  <c r="W86" i="66" s="1"/>
  <c r="X86" i="66"/>
  <c r="X267" i="66"/>
  <c r="Q267" i="66"/>
  <c r="W267" i="66" s="1"/>
  <c r="Q231" i="66"/>
  <c r="X97" i="66"/>
  <c r="Q97" i="66"/>
  <c r="Q283" i="66"/>
  <c r="W283" i="66" s="1"/>
  <c r="X283" i="66"/>
  <c r="O208" i="66"/>
  <c r="Q51" i="66"/>
  <c r="W51" i="66" s="1"/>
  <c r="X51" i="66"/>
  <c r="Q184" i="66"/>
  <c r="Q110" i="66"/>
  <c r="W110" i="66" s="1"/>
  <c r="X110" i="66"/>
  <c r="Q40" i="66"/>
  <c r="X274" i="66"/>
  <c r="Q274" i="66"/>
  <c r="W274" i="66" s="1"/>
  <c r="O256" i="66"/>
  <c r="Q101" i="66"/>
  <c r="O49" i="66"/>
  <c r="O241" i="66"/>
  <c r="X166" i="66"/>
  <c r="Q166" i="66"/>
  <c r="W166" i="66" s="1"/>
  <c r="Q5" i="66"/>
  <c r="O160" i="66"/>
  <c r="Q183" i="66"/>
  <c r="Q273" i="66"/>
  <c r="W273" i="66" s="1"/>
  <c r="X273" i="66"/>
  <c r="O64" i="66"/>
  <c r="Q22" i="66"/>
  <c r="W22" i="66" s="1"/>
  <c r="X22" i="66"/>
  <c r="X13" i="66"/>
  <c r="Q13" i="66"/>
  <c r="W13" i="66" s="1"/>
  <c r="Q91" i="66"/>
  <c r="W91" i="66" s="1"/>
  <c r="X91" i="66"/>
  <c r="Q73" i="66"/>
  <c r="X114" i="66"/>
  <c r="Q114" i="66"/>
  <c r="W114" i="66" s="1"/>
  <c r="Q123" i="66"/>
  <c r="W123" i="66" s="1"/>
  <c r="X123" i="66"/>
  <c r="Q235" i="66"/>
  <c r="W235" i="66" s="1"/>
  <c r="X235" i="66"/>
  <c r="Q168" i="66"/>
  <c r="W168" i="66" s="1"/>
  <c r="X168" i="66"/>
  <c r="Q149" i="66"/>
  <c r="Q112" i="66"/>
  <c r="Q255" i="66"/>
  <c r="W255" i="66" s="1"/>
  <c r="X255" i="66"/>
  <c r="Q59" i="66"/>
  <c r="W59" i="66" s="1"/>
  <c r="X59" i="66"/>
  <c r="X258" i="66"/>
  <c r="Q258" i="66"/>
  <c r="W258" i="66" s="1"/>
  <c r="Q244" i="66"/>
  <c r="W244" i="66" s="1"/>
  <c r="X244" i="66"/>
  <c r="X225" i="66"/>
  <c r="Q225" i="66"/>
  <c r="W225" i="66" s="1"/>
  <c r="X107" i="66"/>
  <c r="Q107" i="66"/>
  <c r="W107" i="66" s="1"/>
  <c r="X211" i="66"/>
  <c r="Q211" i="66"/>
  <c r="W211" i="66" s="1"/>
  <c r="Q221" i="66"/>
  <c r="W221" i="66" s="1"/>
  <c r="X221" i="66"/>
  <c r="X195" i="66"/>
  <c r="Q155" i="66"/>
  <c r="W155" i="66" s="1"/>
  <c r="X155" i="66"/>
  <c r="Q16" i="66"/>
  <c r="O112" i="66"/>
  <c r="X289" i="66"/>
  <c r="Q289" i="66"/>
  <c r="Q278" i="66"/>
  <c r="W278" i="66" s="1"/>
  <c r="X278" i="66"/>
  <c r="Q241" i="66"/>
  <c r="X241" i="66"/>
  <c r="X120" i="66"/>
  <c r="Q120" i="66"/>
  <c r="W120" i="66" s="1"/>
  <c r="Q70" i="66"/>
  <c r="W70" i="66" s="1"/>
  <c r="X70" i="66"/>
  <c r="Q245" i="66"/>
  <c r="Q52" i="66"/>
  <c r="W52" i="66" s="1"/>
  <c r="X52" i="66"/>
  <c r="X49" i="66"/>
  <c r="Q49" i="66"/>
  <c r="W49" i="66" s="1"/>
  <c r="Q248" i="66"/>
  <c r="W248" i="66" s="1"/>
  <c r="X248" i="66"/>
  <c r="Q175" i="66"/>
  <c r="W175" i="66" s="1"/>
  <c r="X175" i="66"/>
  <c r="X55" i="66"/>
  <c r="O289" i="66"/>
  <c r="X19" i="66"/>
  <c r="Q19" i="66"/>
  <c r="W19" i="66" s="1"/>
  <c r="Q127" i="66"/>
  <c r="W127" i="66" s="1"/>
  <c r="X127" i="66"/>
  <c r="X145" i="66"/>
  <c r="Q145" i="66"/>
  <c r="Q82" i="66"/>
  <c r="W82" i="66" s="1"/>
  <c r="X82" i="66"/>
  <c r="Q62" i="66"/>
  <c r="W62" i="66" s="1"/>
  <c r="X62" i="66"/>
  <c r="Q182" i="66"/>
  <c r="W182" i="66" s="1"/>
  <c r="X182" i="66"/>
  <c r="Q230" i="66"/>
  <c r="W230" i="66" s="1"/>
  <c r="X230" i="66"/>
  <c r="X115" i="66"/>
  <c r="Q115" i="66"/>
  <c r="W115" i="66" s="1"/>
  <c r="Y73" i="74" l="1"/>
  <c r="U79" i="74"/>
  <c r="Y114" i="74"/>
  <c r="Q33" i="74"/>
  <c r="W33" i="74" s="1"/>
  <c r="Y143" i="74"/>
  <c r="Y100" i="74"/>
  <c r="Q92" i="74"/>
  <c r="W92" i="74" s="1"/>
  <c r="Y92" i="74" s="1"/>
  <c r="AC97" i="74"/>
  <c r="AD97" i="74" s="1"/>
  <c r="U87" i="74"/>
  <c r="U43" i="74"/>
  <c r="Y86" i="74"/>
  <c r="Q25" i="74"/>
  <c r="W25" i="74" s="1"/>
  <c r="Y25" i="74" s="1"/>
  <c r="Y16" i="74"/>
  <c r="U134" i="74"/>
  <c r="Y134" i="74"/>
  <c r="U121" i="74"/>
  <c r="Y34" i="74"/>
  <c r="Q40" i="74"/>
  <c r="W40" i="74" s="1"/>
  <c r="Y40" i="74" s="1"/>
  <c r="O97" i="74"/>
  <c r="U139" i="74"/>
  <c r="Y14" i="74"/>
  <c r="U111" i="74"/>
  <c r="Y87" i="74"/>
  <c r="U25" i="74"/>
  <c r="Y5" i="74"/>
  <c r="U47" i="74"/>
  <c r="S135" i="74"/>
  <c r="U135" i="74" s="1"/>
  <c r="U33" i="74"/>
  <c r="U53" i="74"/>
  <c r="Y125" i="74"/>
  <c r="Y72" i="74"/>
  <c r="U125" i="74"/>
  <c r="S110" i="74"/>
  <c r="U110" i="74" s="1"/>
  <c r="U127" i="74"/>
  <c r="Y101" i="74"/>
  <c r="U92" i="74"/>
  <c r="Y127" i="74"/>
  <c r="X49" i="74"/>
  <c r="Q49" i="74"/>
  <c r="W49" i="74" s="1"/>
  <c r="T49" i="74"/>
  <c r="S49" i="74"/>
  <c r="Q95" i="74"/>
  <c r="W95" i="74" s="1"/>
  <c r="X95" i="74"/>
  <c r="S95" i="74"/>
  <c r="T95" i="74"/>
  <c r="T115" i="74"/>
  <c r="Q115" i="74"/>
  <c r="W115" i="74" s="1"/>
  <c r="Y115" i="74" s="1"/>
  <c r="X115" i="74"/>
  <c r="S115" i="74"/>
  <c r="S16" i="74"/>
  <c r="U16" i="74" s="1"/>
  <c r="Q118" i="74"/>
  <c r="W118" i="74" s="1"/>
  <c r="Y118" i="74" s="1"/>
  <c r="X118" i="74"/>
  <c r="S118" i="74"/>
  <c r="T118" i="74"/>
  <c r="S77" i="74"/>
  <c r="Q77" i="74"/>
  <c r="W77" i="74" s="1"/>
  <c r="T77" i="74"/>
  <c r="X77" i="74"/>
  <c r="U14" i="74"/>
  <c r="S31" i="74"/>
  <c r="X31" i="74"/>
  <c r="T31" i="74"/>
  <c r="Q31" i="74"/>
  <c r="W31" i="74" s="1"/>
  <c r="X137" i="74"/>
  <c r="T137" i="74"/>
  <c r="Q22" i="74"/>
  <c r="W22" i="74" s="1"/>
  <c r="Y22" i="74" s="1"/>
  <c r="X82" i="74"/>
  <c r="T82" i="74"/>
  <c r="S82" i="74"/>
  <c r="U82" i="74" s="1"/>
  <c r="Q82" i="74"/>
  <c r="W82" i="74" s="1"/>
  <c r="U4" i="74"/>
  <c r="X38" i="74"/>
  <c r="Q38" i="74"/>
  <c r="W38" i="74" s="1"/>
  <c r="T38" i="74"/>
  <c r="S38" i="74"/>
  <c r="U86" i="74"/>
  <c r="Y43" i="74"/>
  <c r="Y52" i="74"/>
  <c r="X41" i="74"/>
  <c r="T41" i="74"/>
  <c r="O16" i="74"/>
  <c r="Q13" i="74"/>
  <c r="W13" i="74" s="1"/>
  <c r="T13" i="74"/>
  <c r="S13" i="74"/>
  <c r="X13" i="74"/>
  <c r="X66" i="74"/>
  <c r="Q66" i="74"/>
  <c r="W66" i="74" s="1"/>
  <c r="T66" i="74"/>
  <c r="S66" i="74"/>
  <c r="U66" i="74" s="1"/>
  <c r="Y121" i="74"/>
  <c r="Y61" i="74"/>
  <c r="U52" i="74"/>
  <c r="O49" i="74"/>
  <c r="AC49" i="74"/>
  <c r="AD49" i="74" s="1"/>
  <c r="Y4" i="74"/>
  <c r="Q140" i="74"/>
  <c r="W140" i="74" s="1"/>
  <c r="X140" i="74"/>
  <c r="T140" i="74"/>
  <c r="S140" i="74"/>
  <c r="X91" i="74"/>
  <c r="T91" i="74"/>
  <c r="Q91" i="74"/>
  <c r="W91" i="74" s="1"/>
  <c r="Y91" i="74" s="1"/>
  <c r="S91" i="74"/>
  <c r="U61" i="74"/>
  <c r="Q27" i="74"/>
  <c r="W27" i="74" s="1"/>
  <c r="X27" i="74"/>
  <c r="T27" i="74"/>
  <c r="S27" i="74"/>
  <c r="X15" i="74"/>
  <c r="T15" i="74"/>
  <c r="S15" i="74"/>
  <c r="Q15" i="74"/>
  <c r="W15" i="74" s="1"/>
  <c r="X130" i="74"/>
  <c r="T130" i="74"/>
  <c r="S130" i="74"/>
  <c r="U130" i="74" s="1"/>
  <c r="Q18" i="74"/>
  <c r="W18" i="74" s="1"/>
  <c r="Y18" i="74" s="1"/>
  <c r="O145" i="74"/>
  <c r="AC145" i="74"/>
  <c r="AD145" i="74" s="1"/>
  <c r="Y139" i="74"/>
  <c r="Q136" i="74"/>
  <c r="W136" i="74" s="1"/>
  <c r="S136" i="74"/>
  <c r="T136" i="74"/>
  <c r="X136" i="74"/>
  <c r="U73" i="74"/>
  <c r="U143" i="74"/>
  <c r="U114" i="74"/>
  <c r="X75" i="74"/>
  <c r="Q75" i="74"/>
  <c r="W75" i="74" s="1"/>
  <c r="T75" i="74"/>
  <c r="S75" i="74"/>
  <c r="P97" i="74"/>
  <c r="AA97" i="74"/>
  <c r="Z97" i="74"/>
  <c r="X44" i="74"/>
  <c r="T44" i="74"/>
  <c r="S44" i="74"/>
  <c r="Q44" i="74"/>
  <c r="W44" i="74" s="1"/>
  <c r="T70" i="74"/>
  <c r="X70" i="74"/>
  <c r="S70" i="74"/>
  <c r="Q70" i="74"/>
  <c r="W70" i="74" s="1"/>
  <c r="Q47" i="74"/>
  <c r="W47" i="74" s="1"/>
  <c r="Y47" i="74" s="1"/>
  <c r="Q112" i="74"/>
  <c r="X112" i="74"/>
  <c r="T112" i="74"/>
  <c r="S59" i="74"/>
  <c r="Q59" i="74"/>
  <c r="W59" i="74" s="1"/>
  <c r="Y59" i="74" s="1"/>
  <c r="X59" i="74"/>
  <c r="T59" i="74"/>
  <c r="O112" i="74"/>
  <c r="AC112" i="74"/>
  <c r="AD112" i="74" s="1"/>
  <c r="X109" i="74"/>
  <c r="Q109" i="74"/>
  <c r="W109" i="74" s="1"/>
  <c r="Y109" i="74" s="1"/>
  <c r="T109" i="74"/>
  <c r="S109" i="74"/>
  <c r="T62" i="74"/>
  <c r="Q62" i="74"/>
  <c r="W62" i="74" s="1"/>
  <c r="X62" i="74"/>
  <c r="S62" i="74"/>
  <c r="U72" i="74"/>
  <c r="S101" i="74"/>
  <c r="U101" i="74" s="1"/>
  <c r="U5" i="74"/>
  <c r="Y19" i="74"/>
  <c r="U34" i="74"/>
  <c r="S29" i="74"/>
  <c r="X29" i="74"/>
  <c r="T29" i="74"/>
  <c r="Q29" i="74"/>
  <c r="W29" i="74" s="1"/>
  <c r="X85" i="74"/>
  <c r="T85" i="74"/>
  <c r="S88" i="74"/>
  <c r="U88" i="74" s="1"/>
  <c r="T120" i="74"/>
  <c r="X120" i="74"/>
  <c r="Q120" i="74"/>
  <c r="W120" i="74" s="1"/>
  <c r="S120" i="74"/>
  <c r="U120" i="74" s="1"/>
  <c r="U24" i="74"/>
  <c r="Y107" i="74"/>
  <c r="X67" i="74"/>
  <c r="Q67" i="74"/>
  <c r="W67" i="74" s="1"/>
  <c r="S67" i="74"/>
  <c r="T67" i="74"/>
  <c r="Y79" i="74"/>
  <c r="T63" i="74"/>
  <c r="X63" i="74"/>
  <c r="Q63" i="74"/>
  <c r="W63" i="74" s="1"/>
  <c r="Y63" i="74" s="1"/>
  <c r="S63" i="74"/>
  <c r="Q123" i="74"/>
  <c r="W123" i="74" s="1"/>
  <c r="Y123" i="74" s="1"/>
  <c r="X123" i="74"/>
  <c r="T123" i="74"/>
  <c r="S123" i="74"/>
  <c r="Y33" i="74"/>
  <c r="Y39" i="74"/>
  <c r="U39" i="74"/>
  <c r="U19" i="74"/>
  <c r="Y24" i="74"/>
  <c r="O64" i="74"/>
  <c r="AC64" i="74"/>
  <c r="AD64" i="74" s="1"/>
  <c r="X11" i="74"/>
  <c r="T11" i="74"/>
  <c r="Q11" i="74"/>
  <c r="W11" i="74" s="1"/>
  <c r="S11" i="74"/>
  <c r="Q130" i="74"/>
  <c r="W130" i="74" s="1"/>
  <c r="Q81" i="74"/>
  <c r="W81" i="74" s="1"/>
  <c r="X81" i="74"/>
  <c r="S81" i="74"/>
  <c r="T81" i="74"/>
  <c r="D197" i="72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P289" i="66"/>
  <c r="W289" i="66" s="1"/>
  <c r="Y289" i="66" s="1"/>
  <c r="AA49" i="66"/>
  <c r="AA193" i="66"/>
  <c r="AA256" i="66"/>
  <c r="AA112" i="66"/>
  <c r="AA64" i="66"/>
  <c r="AA208" i="66"/>
  <c r="AA160" i="66"/>
  <c r="AA16" i="66"/>
  <c r="AA241" i="66"/>
  <c r="AA97" i="66"/>
  <c r="AA145" i="66"/>
  <c r="AA289" i="66"/>
  <c r="Z64" i="66"/>
  <c r="Z208" i="66"/>
  <c r="Z289" i="66"/>
  <c r="Z145" i="66"/>
  <c r="Z49" i="66"/>
  <c r="Z193" i="66"/>
  <c r="P160" i="66"/>
  <c r="Z112" i="66"/>
  <c r="Z256" i="66"/>
  <c r="Z97" i="66"/>
  <c r="Z241" i="66"/>
  <c r="Z160" i="66"/>
  <c r="Z16" i="66"/>
  <c r="Y130" i="66"/>
  <c r="Y31" i="66"/>
  <c r="Y24" i="66"/>
  <c r="Y62" i="66"/>
  <c r="P112" i="66"/>
  <c r="Y109" i="66"/>
  <c r="Y4" i="66"/>
  <c r="Y254" i="66"/>
  <c r="Y34" i="66"/>
  <c r="Y158" i="66"/>
  <c r="Y168" i="66"/>
  <c r="Y11" i="66"/>
  <c r="Y206" i="66"/>
  <c r="Y219" i="66"/>
  <c r="P241" i="66"/>
  <c r="W241" i="66" s="1"/>
  <c r="Y241" i="66" s="1"/>
  <c r="Y171" i="66"/>
  <c r="Y111" i="66"/>
  <c r="Y70" i="66"/>
  <c r="Y118" i="66"/>
  <c r="Y120" i="66"/>
  <c r="Y49" i="66"/>
  <c r="Y81" i="66"/>
  <c r="Y134" i="66"/>
  <c r="Y248" i="66"/>
  <c r="P193" i="66"/>
  <c r="Y196" i="66"/>
  <c r="Y258" i="66"/>
  <c r="Y207" i="66"/>
  <c r="Y205" i="66"/>
  <c r="Y77" i="66"/>
  <c r="Y47" i="66"/>
  <c r="Y259" i="66"/>
  <c r="Y66" i="66"/>
  <c r="Y221" i="66"/>
  <c r="Y107" i="66"/>
  <c r="Y13" i="66"/>
  <c r="Y110" i="66"/>
  <c r="Y214" i="66"/>
  <c r="Y216" i="66"/>
  <c r="Y152" i="66"/>
  <c r="Y193" i="66"/>
  <c r="P64" i="66"/>
  <c r="Y226" i="66"/>
  <c r="Y100" i="66"/>
  <c r="Y125" i="66"/>
  <c r="Y8" i="66"/>
  <c r="Y239" i="66"/>
  <c r="Y43" i="66"/>
  <c r="Y56" i="66"/>
  <c r="Y143" i="66"/>
  <c r="Y95" i="66"/>
  <c r="Y203" i="66"/>
  <c r="Y51" i="66"/>
  <c r="Y157" i="66"/>
  <c r="Y82" i="66"/>
  <c r="Y225" i="66"/>
  <c r="Y92" i="66"/>
  <c r="Y264" i="66"/>
  <c r="Y211" i="66"/>
  <c r="Y255" i="66"/>
  <c r="Y173" i="66"/>
  <c r="Y230" i="66"/>
  <c r="Y19" i="66"/>
  <c r="Y52" i="66"/>
  <c r="Y244" i="66"/>
  <c r="Y59" i="66"/>
  <c r="Y166" i="66"/>
  <c r="Y283" i="66"/>
  <c r="Y267" i="66"/>
  <c r="Y86" i="66"/>
  <c r="Y129" i="66"/>
  <c r="Y61" i="66"/>
  <c r="Y251" i="66"/>
  <c r="Y33" i="66"/>
  <c r="Y67" i="66"/>
  <c r="Y175" i="66"/>
  <c r="Y163" i="66"/>
  <c r="Y188" i="66"/>
  <c r="Y38" i="66"/>
  <c r="Y44" i="66"/>
  <c r="Y123" i="66"/>
  <c r="Y278" i="66"/>
  <c r="Y115" i="66"/>
  <c r="Y114" i="66"/>
  <c r="Y200" i="66"/>
  <c r="P145" i="66"/>
  <c r="Y75" i="66"/>
  <c r="Y148" i="66"/>
  <c r="Y27" i="66"/>
  <c r="Y139" i="66"/>
  <c r="Y140" i="66"/>
  <c r="Y79" i="66"/>
  <c r="Y271" i="66"/>
  <c r="Y262" i="66"/>
  <c r="Y177" i="66"/>
  <c r="Y162" i="66"/>
  <c r="Y72" i="66"/>
  <c r="P97" i="66"/>
  <c r="Y63" i="66"/>
  <c r="Y15" i="66"/>
  <c r="Y287" i="66"/>
  <c r="Y182" i="66"/>
  <c r="Y155" i="66"/>
  <c r="Y235" i="66"/>
  <c r="Y22" i="66"/>
  <c r="P49" i="66"/>
  <c r="P256" i="66"/>
  <c r="Y274" i="66"/>
  <c r="P208" i="66"/>
  <c r="Y159" i="66"/>
  <c r="Y104" i="66"/>
  <c r="Y191" i="66"/>
  <c r="Y253" i="66"/>
  <c r="Y127" i="66"/>
  <c r="Y284" i="66"/>
  <c r="Y18" i="66"/>
  <c r="P16" i="66"/>
  <c r="Y223" i="66"/>
  <c r="Y91" i="66"/>
  <c r="Y273" i="66"/>
  <c r="Y178" i="66"/>
  <c r="Y187" i="66"/>
  <c r="Y29" i="66"/>
  <c r="Y269" i="66"/>
  <c r="Y210" i="66"/>
  <c r="Y14" i="66"/>
  <c r="Y236" i="66"/>
  <c r="Y95" i="74" l="1"/>
  <c r="U62" i="74"/>
  <c r="U115" i="74"/>
  <c r="Y27" i="74"/>
  <c r="Y29" i="74"/>
  <c r="U81" i="74"/>
  <c r="Y62" i="74"/>
  <c r="U136" i="74"/>
  <c r="Y38" i="74"/>
  <c r="U31" i="74"/>
  <c r="Y81" i="74"/>
  <c r="Y67" i="74"/>
  <c r="U109" i="74"/>
  <c r="U77" i="74"/>
  <c r="Y44" i="74"/>
  <c r="U118" i="74"/>
  <c r="U15" i="74"/>
  <c r="U140" i="74"/>
  <c r="Y66" i="74"/>
  <c r="U38" i="74"/>
  <c r="Y49" i="74"/>
  <c r="U67" i="74"/>
  <c r="Y136" i="74"/>
  <c r="U27" i="74"/>
  <c r="Y140" i="74"/>
  <c r="U13" i="74"/>
  <c r="V97" i="74"/>
  <c r="R97" i="74"/>
  <c r="S97" i="74" s="1"/>
  <c r="U97" i="74" s="1"/>
  <c r="W97" i="74"/>
  <c r="Y97" i="74" s="1"/>
  <c r="Y130" i="74"/>
  <c r="U123" i="74"/>
  <c r="U75" i="74"/>
  <c r="Y13" i="74"/>
  <c r="Y82" i="74"/>
  <c r="U11" i="74"/>
  <c r="U29" i="74"/>
  <c r="Y70" i="74"/>
  <c r="P145" i="74"/>
  <c r="AA145" i="74"/>
  <c r="Z145" i="74"/>
  <c r="P49" i="74"/>
  <c r="AA49" i="74"/>
  <c r="Z49" i="74"/>
  <c r="P16" i="74"/>
  <c r="Z16" i="74"/>
  <c r="AA16" i="74"/>
  <c r="Y11" i="74"/>
  <c r="U70" i="74"/>
  <c r="Y75" i="74"/>
  <c r="Y77" i="74"/>
  <c r="U95" i="74"/>
  <c r="U91" i="74"/>
  <c r="U63" i="74"/>
  <c r="Y120" i="74"/>
  <c r="P112" i="74"/>
  <c r="AA112" i="74"/>
  <c r="Z112" i="74"/>
  <c r="U49" i="74"/>
  <c r="P64" i="74"/>
  <c r="AA64" i="74"/>
  <c r="Z64" i="74"/>
  <c r="U44" i="74"/>
  <c r="Y15" i="74"/>
  <c r="Y31" i="74"/>
  <c r="U59" i="74"/>
  <c r="V289" i="66"/>
  <c r="V193" i="66"/>
  <c r="V241" i="66"/>
  <c r="W145" i="66"/>
  <c r="Y145" i="66" s="1"/>
  <c r="V145" i="66"/>
  <c r="W97" i="66"/>
  <c r="Y97" i="66" s="1"/>
  <c r="V97" i="66"/>
  <c r="V49" i="66"/>
  <c r="W64" i="74" l="1"/>
  <c r="Y64" i="74" s="1"/>
  <c r="V64" i="74"/>
  <c r="R64" i="74"/>
  <c r="S64" i="74" s="1"/>
  <c r="U64" i="74" s="1"/>
  <c r="R145" i="74"/>
  <c r="S145" i="74" s="1"/>
  <c r="U145" i="74" s="1"/>
  <c r="V145" i="74"/>
  <c r="W145" i="74"/>
  <c r="Y145" i="74" s="1"/>
  <c r="V16" i="74"/>
  <c r="R16" i="74"/>
  <c r="V112" i="74"/>
  <c r="R112" i="74"/>
  <c r="S112" i="74" s="1"/>
  <c r="U112" i="74" s="1"/>
  <c r="W112" i="74"/>
  <c r="Y112" i="74" s="1"/>
  <c r="V49" i="74"/>
  <c r="R49" i="74"/>
  <c r="E18" i="34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X89" i="66"/>
  <c r="X41" i="66"/>
  <c r="X281" i="66"/>
  <c r="X137" i="66"/>
  <c r="X185" i="66"/>
  <c r="X233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R177" i="66"/>
  <c r="R239" i="66"/>
  <c r="S239" i="66" s="1"/>
  <c r="R158" i="66"/>
  <c r="R271" i="66"/>
  <c r="S271" i="66" s="1"/>
  <c r="R75" i="66"/>
  <c r="S75" i="66" s="1"/>
  <c r="R81" i="66"/>
  <c r="S81" i="66" s="1"/>
  <c r="R155" i="66"/>
  <c r="R43" i="66"/>
  <c r="R147" i="66"/>
  <c r="R197" i="66"/>
  <c r="S197" i="66" s="1"/>
  <c r="R183" i="66"/>
  <c r="R262" i="66"/>
  <c r="S262" i="66" s="1"/>
  <c r="R44" i="66"/>
  <c r="R87" i="66"/>
  <c r="S87" i="66" s="1"/>
  <c r="R129" i="66"/>
  <c r="S129" i="66" s="1"/>
  <c r="R259" i="66"/>
  <c r="S259" i="66" s="1"/>
  <c r="R143" i="66"/>
  <c r="S143" i="66" s="1"/>
  <c r="R34" i="66"/>
  <c r="R168" i="66"/>
  <c r="R111" i="66"/>
  <c r="S111" i="66" s="1"/>
  <c r="R62" i="66"/>
  <c r="S62" i="66" s="1"/>
  <c r="R235" i="66"/>
  <c r="S235" i="66" s="1"/>
  <c r="R38" i="66"/>
  <c r="R223" i="66"/>
  <c r="S223" i="66" s="1"/>
  <c r="R251" i="66"/>
  <c r="S251" i="66" s="1"/>
  <c r="R178" i="66"/>
  <c r="R216" i="66"/>
  <c r="S216" i="66" s="1"/>
  <c r="R136" i="66"/>
  <c r="S136" i="66" s="1"/>
  <c r="R273" i="66"/>
  <c r="S273" i="66" s="1"/>
  <c r="R114" i="66"/>
  <c r="S114" i="66" s="1"/>
  <c r="R207" i="66"/>
  <c r="S207" i="66" s="1"/>
  <c r="R214" i="66"/>
  <c r="S214" i="66" s="1"/>
  <c r="R184" i="66"/>
  <c r="R287" i="66"/>
  <c r="S287" i="66" s="1"/>
  <c r="R171" i="66"/>
  <c r="R91" i="66"/>
  <c r="S91" i="66" s="1"/>
  <c r="R280" i="66"/>
  <c r="S280" i="66" s="1"/>
  <c r="R245" i="66"/>
  <c r="S245" i="66" s="1"/>
  <c r="R15" i="66"/>
  <c r="R274" i="66"/>
  <c r="S274" i="66" s="1"/>
  <c r="R175" i="66"/>
  <c r="R265" i="66"/>
  <c r="S265" i="66" s="1"/>
  <c r="R88" i="66"/>
  <c r="S88" i="66" s="1"/>
  <c r="R109" i="66"/>
  <c r="S109" i="66" s="1"/>
  <c r="R118" i="66"/>
  <c r="S118" i="66" s="1"/>
  <c r="R258" i="66"/>
  <c r="S258" i="66" s="1"/>
  <c r="R166" i="66"/>
  <c r="R73" i="66"/>
  <c r="S73" i="66" s="1"/>
  <c r="R33" i="66"/>
  <c r="R70" i="66"/>
  <c r="S70" i="66" s="1"/>
  <c r="R120" i="66"/>
  <c r="S120" i="66" s="1"/>
  <c r="R139" i="66"/>
  <c r="S139" i="66" s="1"/>
  <c r="R225" i="66"/>
  <c r="S225" i="66" s="1"/>
  <c r="R107" i="66"/>
  <c r="S107" i="66" s="1"/>
  <c r="R140" i="66"/>
  <c r="S140" i="66" s="1"/>
  <c r="R79" i="66"/>
  <c r="S79" i="66" s="1"/>
  <c r="R67" i="66"/>
  <c r="S67" i="66" s="1"/>
  <c r="R13" i="66"/>
  <c r="R195" i="66"/>
  <c r="R11" i="66"/>
  <c r="R31" i="66"/>
  <c r="R231" i="66"/>
  <c r="S231" i="66" s="1"/>
  <c r="R149" i="66"/>
  <c r="R221" i="66"/>
  <c r="S221" i="66" s="1"/>
  <c r="R104" i="66"/>
  <c r="S104" i="66" s="1"/>
  <c r="R188" i="66"/>
  <c r="R278" i="66"/>
  <c r="S278" i="66" s="1"/>
  <c r="R157" i="66"/>
  <c r="R123" i="66"/>
  <c r="S123" i="66" s="1"/>
  <c r="R100" i="66"/>
  <c r="S100" i="66" s="1"/>
  <c r="R63" i="66"/>
  <c r="S63" i="66" s="1"/>
  <c r="R101" i="66"/>
  <c r="S101" i="66" s="1"/>
  <c r="R56" i="66"/>
  <c r="S56" i="66" s="1"/>
  <c r="R86" i="66"/>
  <c r="S86" i="66" s="1"/>
  <c r="R196" i="66"/>
  <c r="S196" i="66" s="1"/>
  <c r="R134" i="66"/>
  <c r="S134" i="66" s="1"/>
  <c r="R148" i="66"/>
  <c r="R77" i="66"/>
  <c r="S77" i="66" s="1"/>
  <c r="R284" i="66"/>
  <c r="S284" i="66" s="1"/>
  <c r="R219" i="66"/>
  <c r="S219" i="66" s="1"/>
  <c r="R19" i="66"/>
  <c r="R72" i="66"/>
  <c r="S72" i="66" s="1"/>
  <c r="R210" i="66"/>
  <c r="S210" i="66" s="1"/>
  <c r="R191" i="66"/>
  <c r="R182" i="66"/>
  <c r="R230" i="66"/>
  <c r="S230" i="66" s="1"/>
  <c r="R110" i="66"/>
  <c r="S110" i="66" s="1"/>
  <c r="R39" i="66"/>
  <c r="R254" i="66"/>
  <c r="S254" i="66" s="1"/>
  <c r="R18" i="66"/>
  <c r="R232" i="66"/>
  <c r="S232" i="66" s="1"/>
  <c r="R200" i="66"/>
  <c r="S200" i="66" s="1"/>
  <c r="R187" i="66"/>
  <c r="R205" i="66"/>
  <c r="S205" i="66" s="1"/>
  <c r="R92" i="66"/>
  <c r="S92" i="66" s="1"/>
  <c r="R173" i="66"/>
  <c r="R248" i="66"/>
  <c r="S248" i="66" s="1"/>
  <c r="R163" i="66"/>
  <c r="R66" i="66"/>
  <c r="S66" i="66" s="1"/>
  <c r="R53" i="66"/>
  <c r="S53" i="66" s="1"/>
  <c r="R22" i="66"/>
  <c r="R264" i="66"/>
  <c r="S264" i="66" s="1"/>
  <c r="R14" i="66"/>
  <c r="R269" i="66"/>
  <c r="S269" i="66" s="1"/>
  <c r="R152" i="66"/>
  <c r="R279" i="66"/>
  <c r="S279" i="66" s="1"/>
  <c r="R236" i="66"/>
  <c r="S236" i="66" s="1"/>
  <c r="R61" i="66"/>
  <c r="S61" i="66" s="1"/>
  <c r="R244" i="66"/>
  <c r="S244" i="66" s="1"/>
  <c r="R203" i="66"/>
  <c r="S203" i="66" s="1"/>
  <c r="R267" i="66"/>
  <c r="S267" i="66" s="1"/>
  <c r="R135" i="66"/>
  <c r="S135" i="66" s="1"/>
  <c r="R159" i="66"/>
  <c r="R47" i="66"/>
  <c r="R125" i="66"/>
  <c r="S125" i="66" s="1"/>
  <c r="R291" i="66"/>
  <c r="R130" i="66"/>
  <c r="S130" i="66" s="1"/>
  <c r="R127" i="66"/>
  <c r="S127" i="66" s="1"/>
  <c r="R217" i="66"/>
  <c r="S217" i="66" s="1"/>
  <c r="R243" i="66"/>
  <c r="R211" i="66"/>
  <c r="S211" i="66" s="1"/>
  <c r="R226" i="66"/>
  <c r="S226" i="66" s="1"/>
  <c r="R29" i="66"/>
  <c r="R27" i="66"/>
  <c r="R25" i="66"/>
  <c r="R5" i="66"/>
  <c r="R169" i="66"/>
  <c r="R4" i="66"/>
  <c r="R24" i="66"/>
  <c r="R162" i="66"/>
  <c r="R115" i="66"/>
  <c r="S115" i="66" s="1"/>
  <c r="R99" i="66"/>
  <c r="R52" i="66"/>
  <c r="S52" i="66" s="1"/>
  <c r="R283" i="66"/>
  <c r="S283" i="66" s="1"/>
  <c r="R40" i="66"/>
  <c r="R8" i="66"/>
  <c r="R82" i="66"/>
  <c r="S82" i="66" s="1"/>
  <c r="R255" i="66"/>
  <c r="S255" i="66" s="1"/>
  <c r="R51" i="66"/>
  <c r="R121" i="66"/>
  <c r="S121" i="66" s="1"/>
  <c r="R95" i="66"/>
  <c r="S95" i="66" s="1"/>
  <c r="R253" i="66"/>
  <c r="S253" i="66" s="1"/>
  <c r="R206" i="66"/>
  <c r="S206" i="66" s="1"/>
  <c r="R59" i="66"/>
  <c r="S59" i="66" s="1"/>
  <c r="S177" i="66"/>
  <c r="T169" i="66"/>
  <c r="T264" i="66"/>
  <c r="S4" i="66"/>
  <c r="S27" i="66"/>
  <c r="S148" i="66"/>
  <c r="T274" i="66"/>
  <c r="T14" i="66"/>
  <c r="T64" i="66"/>
  <c r="T259" i="66"/>
  <c r="T4" i="66"/>
  <c r="T92" i="66"/>
  <c r="T99" i="66"/>
  <c r="T38" i="66"/>
  <c r="T217" i="66"/>
  <c r="T205" i="66"/>
  <c r="T27" i="66"/>
  <c r="T148" i="66"/>
  <c r="T111" i="66"/>
  <c r="S173" i="66"/>
  <c r="T104" i="66"/>
  <c r="T159" i="66"/>
  <c r="T31" i="66"/>
  <c r="T51" i="66"/>
  <c r="T273" i="66"/>
  <c r="S13" i="66"/>
  <c r="S168" i="66"/>
  <c r="S16" i="66"/>
  <c r="T241" i="66"/>
  <c r="T19" i="66"/>
  <c r="S159" i="66"/>
  <c r="S31" i="66"/>
  <c r="T184" i="66"/>
  <c r="T166" i="66"/>
  <c r="T50" i="66"/>
  <c r="T149" i="66"/>
  <c r="T225" i="66"/>
  <c r="T16" i="66"/>
  <c r="T248" i="66"/>
  <c r="T127" i="66"/>
  <c r="T115" i="66"/>
  <c r="T280" i="66"/>
  <c r="S169" i="66"/>
  <c r="S14" i="66"/>
  <c r="T171" i="66"/>
  <c r="T33" i="66"/>
  <c r="T158" i="66"/>
  <c r="S38" i="66"/>
  <c r="T152" i="66"/>
  <c r="T139" i="66"/>
  <c r="T203" i="66"/>
  <c r="S162" i="66"/>
  <c r="T41" i="66"/>
  <c r="T173" i="66"/>
  <c r="T75" i="66"/>
  <c r="T123" i="66"/>
  <c r="T59" i="66"/>
  <c r="S19" i="66"/>
  <c r="T91" i="66"/>
  <c r="S149" i="66"/>
  <c r="T177" i="66"/>
  <c r="T11" i="66"/>
  <c r="S171" i="66"/>
  <c r="S33" i="66"/>
  <c r="S158" i="66"/>
  <c r="T287" i="66"/>
  <c r="T143" i="66"/>
  <c r="T223" i="66"/>
  <c r="S152" i="66"/>
  <c r="T118" i="66"/>
  <c r="T160" i="66"/>
  <c r="T208" i="66"/>
  <c r="T275" i="66"/>
  <c r="T281" i="66"/>
  <c r="T163" i="66"/>
  <c r="T196" i="66"/>
  <c r="T81" i="66"/>
  <c r="S11" i="66"/>
  <c r="T72" i="66"/>
  <c r="T130" i="66"/>
  <c r="S47" i="66"/>
  <c r="T269" i="66"/>
  <c r="S160" i="66"/>
  <c r="T7" i="66"/>
  <c r="U7" i="66" s="1"/>
  <c r="T216" i="66"/>
  <c r="T34" i="66"/>
  <c r="T135" i="66"/>
  <c r="T97" i="66"/>
  <c r="S184" i="66"/>
  <c r="T194" i="66"/>
  <c r="T5" i="66"/>
  <c r="T100" i="66"/>
  <c r="S25" i="66"/>
  <c r="T247" i="66"/>
  <c r="U247" i="66" s="1"/>
  <c r="T47" i="66"/>
  <c r="T284" i="66"/>
  <c r="S34" i="66"/>
  <c r="T191" i="66"/>
  <c r="T43" i="66"/>
  <c r="T121" i="66"/>
  <c r="T86" i="66"/>
  <c r="S5" i="66"/>
  <c r="T107" i="66"/>
  <c r="T175" i="66"/>
  <c r="T77" i="66"/>
  <c r="T233" i="66"/>
  <c r="S40" i="66"/>
  <c r="S49" i="66"/>
  <c r="T109" i="66"/>
  <c r="T98" i="66"/>
  <c r="T62" i="66"/>
  <c r="T134" i="66"/>
  <c r="T236" i="66"/>
  <c r="T25" i="66"/>
  <c r="T87" i="66"/>
  <c r="T137" i="66"/>
  <c r="T185" i="66"/>
  <c r="T56" i="66"/>
  <c r="T197" i="66"/>
  <c r="S43" i="66"/>
  <c r="S163" i="66"/>
  <c r="T147" i="66"/>
  <c r="T73" i="66"/>
  <c r="T112" i="66"/>
  <c r="T258" i="66"/>
  <c r="T195" i="66"/>
  <c r="T289" i="66"/>
  <c r="T120" i="66"/>
  <c r="T52" i="66"/>
  <c r="T265" i="66"/>
  <c r="T199" i="66"/>
  <c r="U199" i="66" s="1"/>
  <c r="T61" i="66"/>
  <c r="T70" i="66"/>
  <c r="T230" i="66"/>
  <c r="T66" i="66"/>
  <c r="T151" i="66"/>
  <c r="U151" i="66" s="1"/>
  <c r="T188" i="66"/>
  <c r="T162" i="66"/>
  <c r="T278" i="66"/>
  <c r="T168" i="66"/>
  <c r="T245" i="66"/>
  <c r="T219" i="66"/>
  <c r="S8" i="66"/>
  <c r="T242" i="66"/>
  <c r="T251" i="66"/>
  <c r="T53" i="66"/>
  <c r="T140" i="66"/>
  <c r="T243" i="66"/>
  <c r="T125" i="66"/>
  <c r="S157" i="66"/>
  <c r="S191" i="66"/>
  <c r="T267" i="66"/>
  <c r="T110" i="66"/>
  <c r="S22" i="66"/>
  <c r="T235" i="66"/>
  <c r="T227" i="66"/>
  <c r="T179" i="66"/>
  <c r="S175" i="66"/>
  <c r="T145" i="66"/>
  <c r="T182" i="66"/>
  <c r="T193" i="66"/>
  <c r="T83" i="66"/>
  <c r="T279" i="66"/>
  <c r="S178" i="66"/>
  <c r="T256" i="66"/>
  <c r="T13" i="66"/>
  <c r="T221" i="66"/>
  <c r="T271" i="66"/>
  <c r="T67" i="66"/>
  <c r="T8" i="66"/>
  <c r="S15" i="66"/>
  <c r="T63" i="66"/>
  <c r="T44" i="66"/>
  <c r="T79" i="66"/>
  <c r="S29" i="66"/>
  <c r="T253" i="66"/>
  <c r="S187" i="66"/>
  <c r="T200" i="66"/>
  <c r="T129" i="66"/>
  <c r="T207" i="66"/>
  <c r="T283" i="66"/>
  <c r="T101" i="66"/>
  <c r="T183" i="66"/>
  <c r="T22" i="66"/>
  <c r="T255" i="66"/>
  <c r="T211" i="66"/>
  <c r="T290" i="66"/>
  <c r="T49" i="66"/>
  <c r="T39" i="66"/>
  <c r="T136" i="66"/>
  <c r="S18" i="66"/>
  <c r="T131" i="66"/>
  <c r="S193" i="66"/>
  <c r="T231" i="66"/>
  <c r="T114" i="66"/>
  <c r="T206" i="66"/>
  <c r="T239" i="66"/>
  <c r="T95" i="66"/>
  <c r="T15" i="66"/>
  <c r="S44" i="66"/>
  <c r="S188" i="66"/>
  <c r="S24" i="66"/>
  <c r="T88" i="66"/>
  <c r="T29" i="66"/>
  <c r="T226" i="66"/>
  <c r="T157" i="66"/>
  <c r="T254" i="66"/>
  <c r="T214" i="66"/>
  <c r="T178" i="66"/>
  <c r="S183" i="66"/>
  <c r="T146" i="66"/>
  <c r="T89" i="66"/>
  <c r="T244" i="66"/>
  <c r="T155" i="66"/>
  <c r="T55" i="66"/>
  <c r="U55" i="66" s="1"/>
  <c r="S182" i="66"/>
  <c r="S39" i="66"/>
  <c r="T262" i="66"/>
  <c r="T103" i="66"/>
  <c r="U103" i="66" s="1"/>
  <c r="T232" i="66"/>
  <c r="T18" i="66"/>
  <c r="T24" i="66"/>
  <c r="T187" i="66"/>
  <c r="T40" i="66"/>
  <c r="T291" i="66"/>
  <c r="S155" i="66"/>
  <c r="T82" i="66"/>
  <c r="S166" i="66"/>
  <c r="T35" i="66"/>
  <c r="T210" i="66"/>
  <c r="S51" i="66"/>
  <c r="R289" i="66"/>
  <c r="S289" i="66" s="1"/>
  <c r="R160" i="66"/>
  <c r="R16" i="66"/>
  <c r="R64" i="66"/>
  <c r="S64" i="66" s="1"/>
  <c r="R193" i="66"/>
  <c r="R49" i="66"/>
  <c r="R112" i="66"/>
  <c r="S112" i="66" s="1"/>
  <c r="R208" i="66"/>
  <c r="S208" i="66" s="1"/>
  <c r="R241" i="66"/>
  <c r="S241" i="66" s="1"/>
  <c r="R97" i="66"/>
  <c r="S97" i="66" s="1"/>
  <c r="R145" i="66"/>
  <c r="S145" i="66" s="1"/>
  <c r="R256" i="66"/>
  <c r="S256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G272" i="66" l="1"/>
  <c r="I122" i="58"/>
  <c r="J129" i="58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99" i="41" s="1"/>
  <c r="I100" i="37"/>
  <c r="J139" i="37"/>
  <c r="J136" i="37"/>
  <c r="J138" i="37"/>
  <c r="J140" i="37"/>
  <c r="J133" i="37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U64" i="66"/>
  <c r="U241" i="66"/>
  <c r="H114" i="41"/>
  <c r="U111" i="66"/>
  <c r="U51" i="66"/>
  <c r="U206" i="66"/>
  <c r="U217" i="66"/>
  <c r="U166" i="66"/>
  <c r="U31" i="66"/>
  <c r="U139" i="66"/>
  <c r="U203" i="66"/>
  <c r="U182" i="66"/>
  <c r="U145" i="66"/>
  <c r="U184" i="66"/>
  <c r="U183" i="66"/>
  <c r="U216" i="66"/>
  <c r="U100" i="66"/>
  <c r="U273" i="66"/>
  <c r="U223" i="66"/>
  <c r="U289" i="66"/>
  <c r="U244" i="66"/>
  <c r="U264" i="66"/>
  <c r="U280" i="66"/>
  <c r="U73" i="66"/>
  <c r="U208" i="66"/>
  <c r="U44" i="66"/>
  <c r="U265" i="66"/>
  <c r="U11" i="66"/>
  <c r="U38" i="66"/>
  <c r="U82" i="66"/>
  <c r="U188" i="66"/>
  <c r="U175" i="66"/>
  <c r="U4" i="66"/>
  <c r="U160" i="66"/>
  <c r="U15" i="66"/>
  <c r="U115" i="66"/>
  <c r="U236" i="66"/>
  <c r="U92" i="66"/>
  <c r="U95" i="66"/>
  <c r="U101" i="66"/>
  <c r="U253" i="66"/>
  <c r="U279" i="66"/>
  <c r="U205" i="66"/>
  <c r="U72" i="66"/>
  <c r="U197" i="66"/>
  <c r="U214" i="66"/>
  <c r="U24" i="66"/>
  <c r="U29" i="66"/>
  <c r="U200" i="66"/>
  <c r="U123" i="66"/>
  <c r="U230" i="66"/>
  <c r="U191" i="66"/>
  <c r="U40" i="66"/>
  <c r="U127" i="66"/>
  <c r="U258" i="66"/>
  <c r="U287" i="66"/>
  <c r="U235" i="66"/>
  <c r="U63" i="66"/>
  <c r="U61" i="66"/>
  <c r="U114" i="66"/>
  <c r="U219" i="66"/>
  <c r="U19" i="66"/>
  <c r="U130" i="66"/>
  <c r="U67" i="66"/>
  <c r="U118" i="66"/>
  <c r="U62" i="66"/>
  <c r="U120" i="66"/>
  <c r="U135" i="66"/>
  <c r="U221" i="66"/>
  <c r="U152" i="66"/>
  <c r="U16" i="66"/>
  <c r="U110" i="66"/>
  <c r="U59" i="66"/>
  <c r="U168" i="66"/>
  <c r="U134" i="66"/>
  <c r="U104" i="66"/>
  <c r="U271" i="66"/>
  <c r="U22" i="66"/>
  <c r="U284" i="66"/>
  <c r="U259" i="66"/>
  <c r="U47" i="66"/>
  <c r="U267" i="66"/>
  <c r="U66" i="66"/>
  <c r="U129" i="66"/>
  <c r="U187" i="66"/>
  <c r="U283" i="66"/>
  <c r="U226" i="66"/>
  <c r="U86" i="66"/>
  <c r="U231" i="66"/>
  <c r="U70" i="66"/>
  <c r="U245" i="66"/>
  <c r="U87" i="66"/>
  <c r="U239" i="66"/>
  <c r="U207" i="66"/>
  <c r="U196" i="66"/>
  <c r="U159" i="66"/>
  <c r="U109" i="66"/>
  <c r="U158" i="66"/>
  <c r="U193" i="66"/>
  <c r="U210" i="66"/>
  <c r="U25" i="66"/>
  <c r="U121" i="66"/>
  <c r="U33" i="66"/>
  <c r="U13" i="66"/>
  <c r="U77" i="66"/>
  <c r="U148" i="66"/>
  <c r="U155" i="66"/>
  <c r="U8" i="66"/>
  <c r="U251" i="66"/>
  <c r="U171" i="66"/>
  <c r="U27" i="66"/>
  <c r="U88" i="66"/>
  <c r="U56" i="66"/>
  <c r="U81" i="66"/>
  <c r="U162" i="66"/>
  <c r="U14" i="66"/>
  <c r="U39" i="66"/>
  <c r="U125" i="66"/>
  <c r="U278" i="66"/>
  <c r="U163" i="66"/>
  <c r="U269" i="66"/>
  <c r="U169" i="66"/>
  <c r="U256" i="66"/>
  <c r="U232" i="66"/>
  <c r="U18" i="66"/>
  <c r="U43" i="66"/>
  <c r="U34" i="66"/>
  <c r="U149" i="66"/>
  <c r="U157" i="66"/>
  <c r="U52" i="66"/>
  <c r="U136" i="66"/>
  <c r="U97" i="66"/>
  <c r="U53" i="66"/>
  <c r="U262" i="66"/>
  <c r="U211" i="66"/>
  <c r="U91" i="66"/>
  <c r="U75" i="66"/>
  <c r="U177" i="66"/>
  <c r="U225" i="66"/>
  <c r="U255" i="66"/>
  <c r="U254" i="66"/>
  <c r="U178" i="66"/>
  <c r="U5" i="66"/>
  <c r="U274" i="66"/>
  <c r="U143" i="66"/>
  <c r="U248" i="66"/>
  <c r="U112" i="66"/>
  <c r="U79" i="66"/>
  <c r="U107" i="66"/>
  <c r="U49" i="66"/>
  <c r="U140" i="66"/>
  <c r="U173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G96" i="66"/>
  <c r="I9" i="41"/>
  <c r="D55" i="39" s="1"/>
  <c r="E119" i="38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G240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G48" i="66"/>
  <c r="C164" i="41"/>
  <c r="C175" i="41"/>
  <c r="C247" i="41"/>
  <c r="C269" i="41"/>
  <c r="C289" i="41"/>
  <c r="C333" i="41"/>
  <c r="C390" i="41"/>
  <c r="C412" i="41"/>
  <c r="G192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G176" i="66"/>
  <c r="H7" i="41"/>
  <c r="C54" i="39" s="1"/>
  <c r="E101" i="38" s="1"/>
  <c r="G32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G80" i="66"/>
  <c r="C221" i="41"/>
  <c r="C330" i="41"/>
  <c r="C421" i="41"/>
  <c r="J9" i="41"/>
  <c r="E55" i="39" s="1"/>
  <c r="E136" i="38" s="1"/>
  <c r="G144" i="66"/>
  <c r="G144" i="74" s="1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G224" i="66"/>
  <c r="G288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G128" i="66"/>
  <c r="G128" i="74" s="1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G96" i="74" l="1"/>
  <c r="G80" i="74"/>
  <c r="G32" i="74"/>
  <c r="G48" i="74"/>
  <c r="K96" i="66"/>
  <c r="K144" i="66"/>
  <c r="K80" i="66"/>
  <c r="I122" i="41"/>
  <c r="J133" i="41"/>
  <c r="J129" i="41"/>
  <c r="J139" i="4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M55" i="39"/>
  <c r="E187" i="38" s="1"/>
  <c r="L55" i="39"/>
  <c r="E170" i="38" s="1"/>
  <c r="E54" i="39"/>
  <c r="E135" i="38" s="1"/>
  <c r="I130" i="41"/>
  <c r="H108" i="41"/>
  <c r="M4" i="41" s="1"/>
  <c r="K55" i="39"/>
  <c r="E153" i="38" s="1"/>
  <c r="J116" i="41"/>
  <c r="I116" i="41"/>
  <c r="I129" i="41"/>
  <c r="J115" i="41"/>
  <c r="I104" i="41"/>
  <c r="I135" i="41"/>
  <c r="J131" i="41"/>
  <c r="H140" i="41"/>
  <c r="I124" i="58"/>
  <c r="C43" i="63" s="1"/>
  <c r="K272" i="66"/>
  <c r="J128" i="58"/>
  <c r="J98" i="58"/>
  <c r="J124" i="58"/>
  <c r="H98" i="58"/>
  <c r="I98" i="58"/>
  <c r="I128" i="58"/>
  <c r="H97" i="58"/>
  <c r="H124" i="58"/>
  <c r="C33" i="63" s="1"/>
  <c r="H126" i="58"/>
  <c r="H477" i="37"/>
  <c r="J97" i="58"/>
  <c r="J475" i="37"/>
  <c r="J96" i="58"/>
  <c r="I97" i="58"/>
  <c r="I477" i="37"/>
  <c r="I126" i="58"/>
  <c r="I96" i="58"/>
  <c r="I475" i="37"/>
  <c r="J477" i="37"/>
  <c r="J126" i="58"/>
  <c r="H128" i="58"/>
  <c r="H96" i="58"/>
  <c r="Q80" i="66"/>
  <c r="T80" i="66"/>
  <c r="T144" i="66"/>
  <c r="Q144" i="66"/>
  <c r="K54" i="39"/>
  <c r="E152" i="38" s="1"/>
  <c r="K32" i="66"/>
  <c r="J137" i="41"/>
  <c r="K48" i="66"/>
  <c r="J123" i="41"/>
  <c r="I108" i="41"/>
  <c r="I107" i="41"/>
  <c r="J108" i="41"/>
  <c r="O4" i="41" s="1"/>
  <c r="H123" i="41"/>
  <c r="H137" i="41"/>
  <c r="H100" i="41"/>
  <c r="J432" i="58"/>
  <c r="J430" i="58"/>
  <c r="J433" i="58"/>
  <c r="J431" i="58"/>
  <c r="I95" i="41"/>
  <c r="I100" i="41"/>
  <c r="H132" i="41"/>
  <c r="I432" i="58"/>
  <c r="I433" i="58"/>
  <c r="I431" i="58"/>
  <c r="I430" i="58"/>
  <c r="H95" i="41"/>
  <c r="J103" i="41"/>
  <c r="H432" i="58"/>
  <c r="H430" i="58"/>
  <c r="H433" i="58"/>
  <c r="I140" i="41"/>
  <c r="J136" i="41"/>
  <c r="J140" i="41"/>
  <c r="O6" i="41" s="1"/>
  <c r="H115" i="41"/>
  <c r="H116" i="41"/>
  <c r="Q96" i="66"/>
  <c r="T96" i="66"/>
  <c r="J95" i="41"/>
  <c r="K128" i="66" l="1"/>
  <c r="K128" i="74" s="1"/>
  <c r="H477" i="58"/>
  <c r="K288" i="66"/>
  <c r="K144" i="74" s="1"/>
  <c r="G148" i="66"/>
  <c r="O148" i="66" s="1"/>
  <c r="J477" i="58"/>
  <c r="K224" i="66"/>
  <c r="Q224" i="66" s="1"/>
  <c r="G196" i="66"/>
  <c r="O196" i="66" s="1"/>
  <c r="I475" i="58"/>
  <c r="I477" i="58"/>
  <c r="G191" i="66"/>
  <c r="O191" i="66" s="1"/>
  <c r="G287" i="66"/>
  <c r="AB287" i="66" s="1"/>
  <c r="AC287" i="66" s="1"/>
  <c r="K192" i="66"/>
  <c r="K48" i="74" s="1"/>
  <c r="G244" i="66"/>
  <c r="O244" i="66" s="1"/>
  <c r="J475" i="58"/>
  <c r="G239" i="66"/>
  <c r="O239" i="66" s="1"/>
  <c r="N4" i="41"/>
  <c r="T224" i="66"/>
  <c r="M6" i="41"/>
  <c r="N6" i="41"/>
  <c r="K240" i="66"/>
  <c r="K96" i="74" s="1"/>
  <c r="I431" i="41"/>
  <c r="H127" i="58"/>
  <c r="J109" i="58"/>
  <c r="J112" i="58"/>
  <c r="J127" i="58"/>
  <c r="H105" i="58"/>
  <c r="J125" i="58"/>
  <c r="J105" i="58"/>
  <c r="H432" i="41"/>
  <c r="T128" i="66"/>
  <c r="H433" i="41"/>
  <c r="I476" i="37"/>
  <c r="I110" i="58"/>
  <c r="I432" i="41"/>
  <c r="K41" i="39"/>
  <c r="E139" i="38" s="1"/>
  <c r="G156" i="66"/>
  <c r="E370" i="38"/>
  <c r="I125" i="58"/>
  <c r="I430" i="41"/>
  <c r="G95" i="66"/>
  <c r="G95" i="74" s="1"/>
  <c r="AC95" i="74" s="1"/>
  <c r="AD95" i="74" s="1"/>
  <c r="J113" i="58"/>
  <c r="J110" i="58"/>
  <c r="J476" i="37"/>
  <c r="H113" i="58"/>
  <c r="I111" i="58"/>
  <c r="J431" i="41"/>
  <c r="H125" i="58"/>
  <c r="H110" i="58"/>
  <c r="I433" i="41"/>
  <c r="H111" i="58"/>
  <c r="G143" i="66"/>
  <c r="J430" i="41"/>
  <c r="T48" i="66"/>
  <c r="Q48" i="66"/>
  <c r="S48" i="66"/>
  <c r="H96" i="41"/>
  <c r="G46" i="66"/>
  <c r="J97" i="41"/>
  <c r="H109" i="58"/>
  <c r="I112" i="58"/>
  <c r="J433" i="41"/>
  <c r="G190" i="66"/>
  <c r="I113" i="58"/>
  <c r="J111" i="58"/>
  <c r="I109" i="58"/>
  <c r="H112" i="58"/>
  <c r="J432" i="41"/>
  <c r="K176" i="66"/>
  <c r="K32" i="74" s="1"/>
  <c r="I96" i="41"/>
  <c r="D12" i="39" s="1"/>
  <c r="G94" i="66"/>
  <c r="D39" i="39"/>
  <c r="E103" i="38" s="1"/>
  <c r="S192" i="66"/>
  <c r="Q192" i="66"/>
  <c r="T192" i="66"/>
  <c r="G238" i="66"/>
  <c r="L39" i="39"/>
  <c r="E154" i="38" s="1"/>
  <c r="I127" i="58"/>
  <c r="I105" i="58"/>
  <c r="G47" i="66"/>
  <c r="H430" i="41"/>
  <c r="S32" i="66"/>
  <c r="Q32" i="66"/>
  <c r="T32" i="66"/>
  <c r="Q288" i="66"/>
  <c r="T288" i="66"/>
  <c r="C53" i="63"/>
  <c r="H98" i="41"/>
  <c r="J124" i="41"/>
  <c r="O5" i="41" s="1"/>
  <c r="C23" i="63"/>
  <c r="J98" i="41"/>
  <c r="T272" i="66"/>
  <c r="Q272" i="66"/>
  <c r="I97" i="41"/>
  <c r="M41" i="39"/>
  <c r="E173" i="38" s="1"/>
  <c r="G252" i="66"/>
  <c r="E41" i="39"/>
  <c r="E122" i="38" s="1"/>
  <c r="J126" i="41"/>
  <c r="E14" i="39" s="1"/>
  <c r="G108" i="66"/>
  <c r="G108" i="74" s="1"/>
  <c r="G204" i="66"/>
  <c r="L41" i="39"/>
  <c r="E156" i="38" s="1"/>
  <c r="H128" i="41"/>
  <c r="G4" i="66"/>
  <c r="G4" i="74" s="1"/>
  <c r="I126" i="41"/>
  <c r="D14" i="39" s="1"/>
  <c r="D41" i="39"/>
  <c r="E105" i="38" s="1"/>
  <c r="G60" i="66"/>
  <c r="H97" i="41"/>
  <c r="I128" i="41"/>
  <c r="G52" i="66"/>
  <c r="G52" i="74" s="1"/>
  <c r="O52" i="74" s="1"/>
  <c r="I98" i="41"/>
  <c r="J128" i="41"/>
  <c r="G100" i="66"/>
  <c r="G100" i="74" s="1"/>
  <c r="I124" i="41"/>
  <c r="C13" i="63"/>
  <c r="G286" i="66"/>
  <c r="M39" i="39"/>
  <c r="E171" i="38" s="1"/>
  <c r="C3" i="63"/>
  <c r="H124" i="41"/>
  <c r="M5" i="41" s="1"/>
  <c r="E39" i="39"/>
  <c r="E120" i="38" s="1"/>
  <c r="J96" i="41"/>
  <c r="E12" i="39" s="1"/>
  <c r="G142" i="66"/>
  <c r="H126" i="41"/>
  <c r="C14" i="39" s="1"/>
  <c r="C41" i="39"/>
  <c r="E88" i="38" s="1"/>
  <c r="G12" i="66"/>
  <c r="G12" i="74" s="1"/>
  <c r="G143" i="74" l="1"/>
  <c r="AC143" i="74" s="1"/>
  <c r="AD143" i="74" s="1"/>
  <c r="G46" i="74"/>
  <c r="O95" i="74"/>
  <c r="Z95" i="74" s="1"/>
  <c r="Q128" i="66"/>
  <c r="AB196" i="66"/>
  <c r="AC196" i="66" s="1"/>
  <c r="G94" i="74"/>
  <c r="Q144" i="74"/>
  <c r="X144" i="74"/>
  <c r="T144" i="74"/>
  <c r="S48" i="74"/>
  <c r="T48" i="74"/>
  <c r="Q48" i="74"/>
  <c r="W48" i="74" s="1"/>
  <c r="X48" i="74"/>
  <c r="Q96" i="74"/>
  <c r="X96" i="74"/>
  <c r="T96" i="74"/>
  <c r="Q32" i="74"/>
  <c r="W32" i="74" s="1"/>
  <c r="X32" i="74"/>
  <c r="T32" i="74"/>
  <c r="S32" i="74"/>
  <c r="U32" i="74" s="1"/>
  <c r="G142" i="74"/>
  <c r="AB191" i="66"/>
  <c r="AC191" i="66" s="1"/>
  <c r="O143" i="74"/>
  <c r="Z143" i="74" s="1"/>
  <c r="G60" i="74"/>
  <c r="AB148" i="66"/>
  <c r="AC148" i="66" s="1"/>
  <c r="G47" i="74"/>
  <c r="K80" i="74"/>
  <c r="AC4" i="74"/>
  <c r="O4" i="74"/>
  <c r="O287" i="66"/>
  <c r="AC52" i="74"/>
  <c r="AD52" i="74" s="1"/>
  <c r="O100" i="74"/>
  <c r="AC100" i="74"/>
  <c r="I476" i="58"/>
  <c r="AB239" i="66"/>
  <c r="AC239" i="66" s="1"/>
  <c r="AB244" i="66"/>
  <c r="AC244" i="66" s="1"/>
  <c r="J476" i="58"/>
  <c r="AA95" i="74"/>
  <c r="Z52" i="74"/>
  <c r="X128" i="74"/>
  <c r="Q128" i="74"/>
  <c r="T128" i="74"/>
  <c r="L156" i="66"/>
  <c r="AB4" i="66"/>
  <c r="AC4" i="66" s="1"/>
  <c r="AB95" i="66"/>
  <c r="AC95" i="66" s="1"/>
  <c r="AB47" i="66"/>
  <c r="AC47" i="66" s="1"/>
  <c r="AB100" i="66"/>
  <c r="AC100" i="66" s="1"/>
  <c r="AB143" i="66"/>
  <c r="AC143" i="66" s="1"/>
  <c r="AB52" i="66"/>
  <c r="AC52" i="66" s="1"/>
  <c r="O100" i="66"/>
  <c r="O47" i="66"/>
  <c r="AA191" i="66" s="1"/>
  <c r="O52" i="66"/>
  <c r="Z52" i="66" s="1"/>
  <c r="O4" i="66"/>
  <c r="Z4" i="66" s="1"/>
  <c r="O95" i="66"/>
  <c r="AA239" i="66" s="1"/>
  <c r="O143" i="66"/>
  <c r="AA143" i="66" s="1"/>
  <c r="G10" i="66"/>
  <c r="G154" i="66"/>
  <c r="D43" i="39"/>
  <c r="E109" i="38" s="1"/>
  <c r="G202" i="66"/>
  <c r="M43" i="39"/>
  <c r="E177" i="38" s="1"/>
  <c r="L43" i="39"/>
  <c r="E160" i="38" s="1"/>
  <c r="G58" i="66"/>
  <c r="I111" i="41"/>
  <c r="H105" i="41"/>
  <c r="J127" i="41"/>
  <c r="Q240" i="66"/>
  <c r="T240" i="66"/>
  <c r="I105" i="41"/>
  <c r="I127" i="41"/>
  <c r="H111" i="41"/>
  <c r="U192" i="66"/>
  <c r="J111" i="41"/>
  <c r="I113" i="41"/>
  <c r="J113" i="41"/>
  <c r="I121" i="58"/>
  <c r="O14" i="39"/>
  <c r="P14" i="39"/>
  <c r="Q14" i="39" s="1"/>
  <c r="M40" i="39"/>
  <c r="E172" i="38" s="1"/>
  <c r="G268" i="66"/>
  <c r="I125" i="41"/>
  <c r="U32" i="66"/>
  <c r="H427" i="58"/>
  <c r="G182" i="66"/>
  <c r="H428" i="58"/>
  <c r="H429" i="58"/>
  <c r="I109" i="41"/>
  <c r="I439" i="58"/>
  <c r="I438" i="58"/>
  <c r="I110" i="41"/>
  <c r="D13" i="39" s="1"/>
  <c r="L40" i="39"/>
  <c r="E155" i="38" s="1"/>
  <c r="G220" i="66"/>
  <c r="J105" i="41"/>
  <c r="J125" i="41"/>
  <c r="K12" i="66"/>
  <c r="K252" i="66"/>
  <c r="G38" i="66"/>
  <c r="H112" i="41"/>
  <c r="I434" i="58"/>
  <c r="I436" i="58"/>
  <c r="I435" i="58"/>
  <c r="I437" i="58"/>
  <c r="D40" i="39"/>
  <c r="E104" i="38" s="1"/>
  <c r="G76" i="66"/>
  <c r="G76" i="74" s="1"/>
  <c r="J438" i="58"/>
  <c r="J439" i="58"/>
  <c r="H121" i="58"/>
  <c r="J459" i="58"/>
  <c r="K286" i="66"/>
  <c r="Z100" i="66"/>
  <c r="Z244" i="66"/>
  <c r="AA244" i="66"/>
  <c r="AA100" i="66"/>
  <c r="G250" i="66"/>
  <c r="K156" i="66"/>
  <c r="J112" i="41"/>
  <c r="J428" i="58"/>
  <c r="G278" i="66"/>
  <c r="J429" i="58"/>
  <c r="J427" i="58"/>
  <c r="J109" i="41"/>
  <c r="J459" i="37"/>
  <c r="K142" i="66"/>
  <c r="K142" i="74" s="1"/>
  <c r="X142" i="74" s="1"/>
  <c r="K204" i="66"/>
  <c r="U48" i="66"/>
  <c r="G134" i="66"/>
  <c r="J435" i="58"/>
  <c r="J436" i="58"/>
  <c r="J437" i="58"/>
  <c r="J434" i="58"/>
  <c r="H127" i="41"/>
  <c r="K108" i="66"/>
  <c r="K108" i="74" s="1"/>
  <c r="Q108" i="74" s="1"/>
  <c r="I427" i="58"/>
  <c r="I428" i="58"/>
  <c r="I429" i="58"/>
  <c r="G230" i="66"/>
  <c r="H436" i="58"/>
  <c r="H437" i="58"/>
  <c r="H434" i="58"/>
  <c r="B3" i="39"/>
  <c r="I459" i="37"/>
  <c r="K94" i="66"/>
  <c r="I112" i="41"/>
  <c r="G86" i="66"/>
  <c r="G86" i="74" s="1"/>
  <c r="H109" i="41"/>
  <c r="E43" i="39"/>
  <c r="E126" i="38" s="1"/>
  <c r="H110" i="41"/>
  <c r="B4" i="39" s="1"/>
  <c r="H476" i="58" s="1"/>
  <c r="G28" i="66"/>
  <c r="G28" i="74" s="1"/>
  <c r="H438" i="58"/>
  <c r="H113" i="41"/>
  <c r="E40" i="39"/>
  <c r="E121" i="38" s="1"/>
  <c r="J110" i="41"/>
  <c r="E13" i="39" s="1"/>
  <c r="G124" i="66"/>
  <c r="N5" i="41"/>
  <c r="AA47" i="66"/>
  <c r="G106" i="66"/>
  <c r="G106" i="74" s="1"/>
  <c r="G172" i="66"/>
  <c r="H125" i="41"/>
  <c r="H477" i="41"/>
  <c r="E352" i="38"/>
  <c r="K60" i="66"/>
  <c r="K60" i="74" s="1"/>
  <c r="T60" i="74" s="1"/>
  <c r="I459" i="58"/>
  <c r="K238" i="66"/>
  <c r="J121" i="58"/>
  <c r="S176" i="66"/>
  <c r="T176" i="66"/>
  <c r="Q176" i="66"/>
  <c r="Y48" i="74" l="1"/>
  <c r="G10" i="74"/>
  <c r="U48" i="74"/>
  <c r="AA143" i="74"/>
  <c r="Q142" i="74"/>
  <c r="AD100" i="74"/>
  <c r="C3" i="75" s="1"/>
  <c r="C18" i="75"/>
  <c r="G38" i="74"/>
  <c r="AC38" i="74" s="1"/>
  <c r="AD38" i="74" s="1"/>
  <c r="AD4" i="74"/>
  <c r="B3" i="75" s="1"/>
  <c r="E3" i="75" s="1"/>
  <c r="B18" i="75"/>
  <c r="E18" i="75" s="1"/>
  <c r="G134" i="74"/>
  <c r="T142" i="74"/>
  <c r="Y32" i="74"/>
  <c r="AA287" i="66"/>
  <c r="Q80" i="74"/>
  <c r="X80" i="74"/>
  <c r="T80" i="74"/>
  <c r="O47" i="74"/>
  <c r="Z47" i="74" s="1"/>
  <c r="AC47" i="74"/>
  <c r="AD47" i="74" s="1"/>
  <c r="G58" i="74"/>
  <c r="X60" i="74"/>
  <c r="T108" i="74"/>
  <c r="Q60" i="74"/>
  <c r="X108" i="74"/>
  <c r="AC86" i="74"/>
  <c r="AD86" i="74" s="1"/>
  <c r="O86" i="74"/>
  <c r="K12" i="74"/>
  <c r="K94" i="74"/>
  <c r="G124" i="74"/>
  <c r="G221" i="66"/>
  <c r="G236" i="66"/>
  <c r="L12" i="66"/>
  <c r="L12" i="74" s="1"/>
  <c r="G225" i="66"/>
  <c r="G173" i="66"/>
  <c r="G269" i="66"/>
  <c r="AA52" i="74"/>
  <c r="G187" i="66"/>
  <c r="O187" i="66" s="1"/>
  <c r="K58" i="66"/>
  <c r="G273" i="66"/>
  <c r="O273" i="66" s="1"/>
  <c r="G283" i="66"/>
  <c r="G284" i="66"/>
  <c r="G253" i="66"/>
  <c r="AB253" i="66" s="1"/>
  <c r="AC253" i="66" s="1"/>
  <c r="Z100" i="74"/>
  <c r="AA100" i="74"/>
  <c r="G177" i="66"/>
  <c r="G157" i="66"/>
  <c r="AB157" i="66" s="1"/>
  <c r="AC157" i="66" s="1"/>
  <c r="G188" i="66"/>
  <c r="G235" i="66"/>
  <c r="G205" i="66"/>
  <c r="O205" i="66" s="1"/>
  <c r="AA4" i="74"/>
  <c r="Z4" i="74"/>
  <c r="AA148" i="66"/>
  <c r="AA4" i="66"/>
  <c r="Z148" i="66"/>
  <c r="AA95" i="66"/>
  <c r="Z239" i="66"/>
  <c r="Z95" i="66"/>
  <c r="AA196" i="66"/>
  <c r="AA52" i="66"/>
  <c r="Z196" i="66"/>
  <c r="AB182" i="66"/>
  <c r="AC182" i="66" s="1"/>
  <c r="AB86" i="66"/>
  <c r="AC86" i="66" s="1"/>
  <c r="AB235" i="66"/>
  <c r="AC235" i="66" s="1"/>
  <c r="AB177" i="66"/>
  <c r="AC177" i="66" s="1"/>
  <c r="AB278" i="66"/>
  <c r="AC278" i="66" s="1"/>
  <c r="AB225" i="66"/>
  <c r="AC225" i="66" s="1"/>
  <c r="AB283" i="66"/>
  <c r="AC283" i="66" s="1"/>
  <c r="AB230" i="66"/>
  <c r="AC230" i="66" s="1"/>
  <c r="AB38" i="66"/>
  <c r="AC38" i="66" s="1"/>
  <c r="AB205" i="66"/>
  <c r="AC205" i="66" s="1"/>
  <c r="AB134" i="66"/>
  <c r="AC134" i="66" s="1"/>
  <c r="O134" i="66"/>
  <c r="O225" i="66"/>
  <c r="Z191" i="66"/>
  <c r="Z47" i="66"/>
  <c r="O38" i="66"/>
  <c r="O86" i="66"/>
  <c r="AA230" i="66" s="1"/>
  <c r="O230" i="66"/>
  <c r="Z287" i="66"/>
  <c r="O253" i="66"/>
  <c r="O182" i="66"/>
  <c r="O177" i="66"/>
  <c r="Z143" i="66"/>
  <c r="O278" i="66"/>
  <c r="O235" i="66"/>
  <c r="O283" i="66"/>
  <c r="H475" i="58"/>
  <c r="E368" i="38" s="1"/>
  <c r="H475" i="37"/>
  <c r="E350" i="38" s="1"/>
  <c r="H476" i="37"/>
  <c r="E351" i="38" s="1"/>
  <c r="C12" i="39"/>
  <c r="P12" i="39" s="1"/>
  <c r="K40" i="39"/>
  <c r="E138" i="38" s="1"/>
  <c r="E16" i="39"/>
  <c r="K250" i="66"/>
  <c r="K202" i="66"/>
  <c r="D16" i="39"/>
  <c r="B7" i="39"/>
  <c r="H478" i="37" s="1"/>
  <c r="H428" i="41"/>
  <c r="U176" i="66"/>
  <c r="J121" i="41"/>
  <c r="I428" i="41"/>
  <c r="J439" i="41"/>
  <c r="J436" i="41"/>
  <c r="G140" i="66"/>
  <c r="G140" i="74" s="1"/>
  <c r="I461" i="37"/>
  <c r="C20" i="63" s="1"/>
  <c r="K76" i="66"/>
  <c r="Q60" i="66"/>
  <c r="T60" i="66"/>
  <c r="J461" i="37"/>
  <c r="C30" i="63" s="1"/>
  <c r="K124" i="66"/>
  <c r="H434" i="41"/>
  <c r="G33" i="66"/>
  <c r="G33" i="74" s="1"/>
  <c r="T252" i="66"/>
  <c r="Q252" i="66"/>
  <c r="I436" i="41"/>
  <c r="G92" i="66"/>
  <c r="G92" i="74" s="1"/>
  <c r="T204" i="66"/>
  <c r="Q204" i="66"/>
  <c r="I427" i="41"/>
  <c r="D15" i="39" s="1"/>
  <c r="AB3" i="39" s="1"/>
  <c r="D42" i="39"/>
  <c r="E106" i="38" s="1"/>
  <c r="G93" i="66"/>
  <c r="I437" i="41"/>
  <c r="G91" i="66"/>
  <c r="G91" i="74" s="1"/>
  <c r="Q58" i="66"/>
  <c r="T58" i="66"/>
  <c r="J461" i="58"/>
  <c r="C60" i="63" s="1"/>
  <c r="K268" i="66"/>
  <c r="H436" i="41"/>
  <c r="G44" i="66"/>
  <c r="G44" i="74" s="1"/>
  <c r="G109" i="66"/>
  <c r="G109" i="74" s="1"/>
  <c r="J438" i="41"/>
  <c r="H438" i="41"/>
  <c r="G13" i="66"/>
  <c r="Z86" i="66"/>
  <c r="AA86" i="66"/>
  <c r="J428" i="41"/>
  <c r="H427" i="41"/>
  <c r="I434" i="41"/>
  <c r="G81" i="66"/>
  <c r="G81" i="74" s="1"/>
  <c r="I121" i="41"/>
  <c r="I429" i="41"/>
  <c r="G77" i="66"/>
  <c r="K106" i="66"/>
  <c r="G237" i="66"/>
  <c r="L42" i="39"/>
  <c r="E157" i="38" s="1"/>
  <c r="C13" i="39"/>
  <c r="E369" i="38"/>
  <c r="I459" i="41"/>
  <c r="S156" i="66"/>
  <c r="T156" i="66"/>
  <c r="Q156" i="66"/>
  <c r="H121" i="41"/>
  <c r="Q238" i="66"/>
  <c r="T238" i="66"/>
  <c r="G29" i="66"/>
  <c r="H429" i="41"/>
  <c r="I461" i="58"/>
  <c r="K220" i="66"/>
  <c r="J437" i="41"/>
  <c r="G139" i="66"/>
  <c r="G139" i="74" s="1"/>
  <c r="C40" i="39"/>
  <c r="E87" i="38" s="1"/>
  <c r="C39" i="39"/>
  <c r="E86" i="38" s="1"/>
  <c r="K39" i="39"/>
  <c r="E137" i="38" s="1"/>
  <c r="J435" i="41"/>
  <c r="T286" i="66"/>
  <c r="Q286" i="66"/>
  <c r="Q12" i="66"/>
  <c r="S12" i="66"/>
  <c r="T12" i="66"/>
  <c r="I439" i="41"/>
  <c r="G125" i="66"/>
  <c r="G125" i="74" s="1"/>
  <c r="J429" i="41"/>
  <c r="J434" i="41"/>
  <c r="G129" i="66"/>
  <c r="G129" i="74" s="1"/>
  <c r="I438" i="41"/>
  <c r="G61" i="66"/>
  <c r="G61" i="74" s="1"/>
  <c r="Q94" i="66"/>
  <c r="T94" i="66"/>
  <c r="H437" i="41"/>
  <c r="G43" i="66"/>
  <c r="G43" i="74" s="1"/>
  <c r="T142" i="66"/>
  <c r="Q142" i="66"/>
  <c r="T108" i="66"/>
  <c r="Q108" i="66"/>
  <c r="J427" i="41"/>
  <c r="E15" i="39" s="1"/>
  <c r="AC3" i="39" s="1"/>
  <c r="G141" i="66"/>
  <c r="G141" i="74" s="1"/>
  <c r="E42" i="39"/>
  <c r="E123" i="38" s="1"/>
  <c r="J459" i="41"/>
  <c r="I435" i="41"/>
  <c r="G285" i="66"/>
  <c r="M42" i="39"/>
  <c r="E174" i="38" s="1"/>
  <c r="AA47" i="74" l="1"/>
  <c r="O157" i="66"/>
  <c r="G13" i="74"/>
  <c r="AC13" i="74" s="1"/>
  <c r="G29" i="74"/>
  <c r="Z230" i="66"/>
  <c r="O38" i="74"/>
  <c r="AA38" i="66"/>
  <c r="O61" i="74"/>
  <c r="AC61" i="74"/>
  <c r="AD61" i="74" s="1"/>
  <c r="K58" i="74"/>
  <c r="T58" i="74" s="1"/>
  <c r="O81" i="74"/>
  <c r="AC81" i="74"/>
  <c r="AD81" i="74" s="1"/>
  <c r="AC129" i="74"/>
  <c r="AD129" i="74" s="1"/>
  <c r="O129" i="74"/>
  <c r="AC139" i="74"/>
  <c r="AD139" i="74" s="1"/>
  <c r="O139" i="74"/>
  <c r="Q94" i="74"/>
  <c r="T94" i="74"/>
  <c r="X94" i="74"/>
  <c r="O33" i="74"/>
  <c r="AC33" i="74"/>
  <c r="AD33" i="74" s="1"/>
  <c r="Q12" i="74"/>
  <c r="W12" i="74" s="1"/>
  <c r="Y12" i="74" s="1"/>
  <c r="T12" i="74"/>
  <c r="S12" i="74"/>
  <c r="X12" i="74"/>
  <c r="O91" i="74"/>
  <c r="AC91" i="74"/>
  <c r="AD91" i="74" s="1"/>
  <c r="AA86" i="74"/>
  <c r="Z86" i="74"/>
  <c r="K124" i="74"/>
  <c r="G93" i="74"/>
  <c r="K106" i="74"/>
  <c r="AB273" i="66"/>
  <c r="AC273" i="66" s="1"/>
  <c r="AC43" i="74"/>
  <c r="AD43" i="74" s="1"/>
  <c r="O43" i="74"/>
  <c r="G77" i="74"/>
  <c r="AB187" i="66"/>
  <c r="AC187" i="66" s="1"/>
  <c r="AC109" i="74"/>
  <c r="O109" i="74"/>
  <c r="K76" i="74"/>
  <c r="O134" i="74"/>
  <c r="AC134" i="74"/>
  <c r="AD134" i="74" s="1"/>
  <c r="H461" i="58"/>
  <c r="L190" i="66"/>
  <c r="L172" i="66"/>
  <c r="AA182" i="66"/>
  <c r="Z38" i="66"/>
  <c r="Z134" i="66"/>
  <c r="AB129" i="66"/>
  <c r="AC129" i="66" s="1"/>
  <c r="AB139" i="66"/>
  <c r="AC139" i="66" s="1"/>
  <c r="AB33" i="66"/>
  <c r="AC33" i="66" s="1"/>
  <c r="AB43" i="66"/>
  <c r="AC43" i="66" s="1"/>
  <c r="AB91" i="66"/>
  <c r="AC91" i="66" s="1"/>
  <c r="AB61" i="66"/>
  <c r="AC61" i="66" s="1"/>
  <c r="AB13" i="66"/>
  <c r="AC13" i="66" s="1"/>
  <c r="AB109" i="66"/>
  <c r="AC109" i="66" s="1"/>
  <c r="AB81" i="66"/>
  <c r="AC81" i="66" s="1"/>
  <c r="AA134" i="66"/>
  <c r="Z278" i="66"/>
  <c r="AA278" i="66"/>
  <c r="Z182" i="66"/>
  <c r="O91" i="66"/>
  <c r="Z235" i="66" s="1"/>
  <c r="O43" i="66"/>
  <c r="O61" i="66"/>
  <c r="AA205" i="66" s="1"/>
  <c r="O13" i="66"/>
  <c r="Z13" i="66" s="1"/>
  <c r="O139" i="66"/>
  <c r="AA139" i="66" s="1"/>
  <c r="O33" i="66"/>
  <c r="AA177" i="66" s="1"/>
  <c r="O109" i="66"/>
  <c r="Z253" i="66" s="1"/>
  <c r="O81" i="66"/>
  <c r="AA81" i="66" s="1"/>
  <c r="O129" i="66"/>
  <c r="AA273" i="66" s="1"/>
  <c r="O12" i="39"/>
  <c r="H460" i="37"/>
  <c r="K172" i="66"/>
  <c r="S172" i="66" s="1"/>
  <c r="Q250" i="66"/>
  <c r="T250" i="66"/>
  <c r="C16" i="39"/>
  <c r="O16" i="39" s="1"/>
  <c r="K43" i="39"/>
  <c r="E143" i="38" s="1"/>
  <c r="C43" i="39"/>
  <c r="E92" i="38" s="1"/>
  <c r="H478" i="58"/>
  <c r="E371" i="38" s="1"/>
  <c r="T202" i="66"/>
  <c r="Q202" i="66"/>
  <c r="I461" i="41"/>
  <c r="U12" i="66"/>
  <c r="C50" i="63"/>
  <c r="U156" i="66"/>
  <c r="K285" i="66"/>
  <c r="O285" i="66" s="1"/>
  <c r="L28" i="66"/>
  <c r="L28" i="74" s="1"/>
  <c r="H476" i="41"/>
  <c r="P13" i="39"/>
  <c r="Q13" i="39" s="1"/>
  <c r="O13" i="39"/>
  <c r="Z91" i="66"/>
  <c r="AA235" i="66"/>
  <c r="T124" i="66"/>
  <c r="Q124" i="66"/>
  <c r="Z205" i="66"/>
  <c r="J461" i="41"/>
  <c r="T220" i="66"/>
  <c r="Q220" i="66"/>
  <c r="Q76" i="66"/>
  <c r="T76" i="66"/>
  <c r="Z187" i="66"/>
  <c r="Z43" i="66"/>
  <c r="AA187" i="66"/>
  <c r="AA43" i="66"/>
  <c r="H461" i="37"/>
  <c r="K28" i="66"/>
  <c r="K28" i="74" s="1"/>
  <c r="T28" i="74" s="1"/>
  <c r="K93" i="66"/>
  <c r="K237" i="66"/>
  <c r="O237" i="66" s="1"/>
  <c r="AA283" i="66"/>
  <c r="Z283" i="66"/>
  <c r="K190" i="66"/>
  <c r="H459" i="58"/>
  <c r="K141" i="66"/>
  <c r="T106" i="66"/>
  <c r="Q106" i="66"/>
  <c r="E353" i="38"/>
  <c r="L46" i="66"/>
  <c r="H475" i="41"/>
  <c r="Q268" i="66"/>
  <c r="T268" i="66"/>
  <c r="Q12" i="39"/>
  <c r="Z273" i="66"/>
  <c r="Z129" i="66"/>
  <c r="K46" i="66"/>
  <c r="H459" i="37"/>
  <c r="L46" i="74" l="1"/>
  <c r="Q58" i="74"/>
  <c r="U12" i="74"/>
  <c r="O13" i="74"/>
  <c r="K46" i="74"/>
  <c r="T46" i="74" s="1"/>
  <c r="AD109" i="74"/>
  <c r="C5" i="75" s="1"/>
  <c r="C20" i="75"/>
  <c r="X58" i="74"/>
  <c r="AD13" i="74"/>
  <c r="B5" i="75" s="1"/>
  <c r="E5" i="75" s="1"/>
  <c r="B20" i="75"/>
  <c r="E20" i="75" s="1"/>
  <c r="AA38" i="74"/>
  <c r="Z38" i="74"/>
  <c r="S28" i="74"/>
  <c r="X28" i="74"/>
  <c r="O141" i="66"/>
  <c r="K141" i="74"/>
  <c r="Q28" i="74"/>
  <c r="W28" i="74" s="1"/>
  <c r="X106" i="74"/>
  <c r="Q106" i="74"/>
  <c r="T106" i="74"/>
  <c r="AA134" i="74"/>
  <c r="Z134" i="74"/>
  <c r="T76" i="74"/>
  <c r="Q76" i="74"/>
  <c r="X76" i="74"/>
  <c r="O93" i="66"/>
  <c r="K93" i="74"/>
  <c r="AC93" i="74" s="1"/>
  <c r="AD93" i="74" s="1"/>
  <c r="Q124" i="74"/>
  <c r="X124" i="74"/>
  <c r="T124" i="74"/>
  <c r="Y28" i="74"/>
  <c r="L154" i="66"/>
  <c r="K10" i="66"/>
  <c r="AA81" i="74"/>
  <c r="Z81" i="74"/>
  <c r="AA129" i="66"/>
  <c r="Z139" i="66"/>
  <c r="AA157" i="66"/>
  <c r="AA129" i="74"/>
  <c r="Z129" i="74"/>
  <c r="AA139" i="74"/>
  <c r="Z139" i="74"/>
  <c r="AA225" i="66"/>
  <c r="U28" i="74"/>
  <c r="Z43" i="74"/>
  <c r="AA43" i="74"/>
  <c r="Z91" i="74"/>
  <c r="AA91" i="74"/>
  <c r="AA33" i="74"/>
  <c r="Z33" i="74"/>
  <c r="Z109" i="74"/>
  <c r="AA109" i="74"/>
  <c r="AA13" i="74"/>
  <c r="Z13" i="74"/>
  <c r="L10" i="66"/>
  <c r="AA61" i="74"/>
  <c r="Z61" i="74"/>
  <c r="AA33" i="66"/>
  <c r="Z177" i="66"/>
  <c r="Z109" i="66"/>
  <c r="AA253" i="66"/>
  <c r="AA109" i="66"/>
  <c r="Z33" i="66"/>
  <c r="AB141" i="66"/>
  <c r="AC141" i="66" s="1"/>
  <c r="AB93" i="66"/>
  <c r="AC93" i="66" s="1"/>
  <c r="AB237" i="66"/>
  <c r="AC237" i="66" s="1"/>
  <c r="AB285" i="66"/>
  <c r="AC285" i="66" s="1"/>
  <c r="Z81" i="66"/>
  <c r="Z225" i="66"/>
  <c r="AA91" i="66"/>
  <c r="Z61" i="66"/>
  <c r="AA61" i="66"/>
  <c r="AA13" i="66"/>
  <c r="Z157" i="66"/>
  <c r="Q172" i="66"/>
  <c r="T172" i="66"/>
  <c r="U172" i="66" s="1"/>
  <c r="G15" i="39"/>
  <c r="F15" i="39"/>
  <c r="K154" i="66"/>
  <c r="S154" i="66" s="1"/>
  <c r="P16" i="39"/>
  <c r="Q16" i="39" s="1"/>
  <c r="H478" i="41"/>
  <c r="H459" i="41"/>
  <c r="C40" i="63"/>
  <c r="P237" i="66"/>
  <c r="AA93" i="66"/>
  <c r="P93" i="66"/>
  <c r="AA237" i="66"/>
  <c r="Z93" i="66"/>
  <c r="Z237" i="66"/>
  <c r="Q237" i="66"/>
  <c r="T237" i="66"/>
  <c r="S190" i="66"/>
  <c r="T190" i="66"/>
  <c r="Q190" i="66"/>
  <c r="Q141" i="66"/>
  <c r="T141" i="66"/>
  <c r="Q93" i="66"/>
  <c r="T93" i="66"/>
  <c r="P285" i="66"/>
  <c r="Q285" i="66"/>
  <c r="T285" i="66"/>
  <c r="Q10" i="66"/>
  <c r="T10" i="66"/>
  <c r="S10" i="66"/>
  <c r="AA285" i="66"/>
  <c r="Z141" i="66"/>
  <c r="P141" i="66"/>
  <c r="Z285" i="66"/>
  <c r="AA141" i="66"/>
  <c r="T46" i="66"/>
  <c r="Q46" i="66"/>
  <c r="S46" i="66"/>
  <c r="T28" i="66"/>
  <c r="Q28" i="66"/>
  <c r="S28" i="66"/>
  <c r="C10" i="63"/>
  <c r="H461" i="41"/>
  <c r="L10" i="74" l="1"/>
  <c r="Q46" i="74"/>
  <c r="W46" i="74" s="1"/>
  <c r="Y46" i="74" s="1"/>
  <c r="S46" i="74"/>
  <c r="U46" i="74" s="1"/>
  <c r="X46" i="74"/>
  <c r="Q93" i="74"/>
  <c r="O93" i="74"/>
  <c r="X93" i="74"/>
  <c r="T93" i="74"/>
  <c r="X141" i="74"/>
  <c r="Q141" i="74"/>
  <c r="T141" i="74"/>
  <c r="O141" i="74"/>
  <c r="AC141" i="74"/>
  <c r="AD141" i="74" s="1"/>
  <c r="K10" i="74"/>
  <c r="Q10" i="74" s="1"/>
  <c r="W10" i="74" s="1"/>
  <c r="T154" i="66"/>
  <c r="U154" i="66" s="1"/>
  <c r="Q154" i="66"/>
  <c r="U10" i="66"/>
  <c r="U28" i="66"/>
  <c r="U190" i="66"/>
  <c r="R93" i="66"/>
  <c r="S93" i="66" s="1"/>
  <c r="U93" i="66" s="1"/>
  <c r="U46" i="66"/>
  <c r="R285" i="66"/>
  <c r="S285" i="66" s="1"/>
  <c r="U285" i="66" s="1"/>
  <c r="R141" i="66"/>
  <c r="S141" i="66" s="1"/>
  <c r="U141" i="66" s="1"/>
  <c r="R237" i="66"/>
  <c r="S237" i="66" s="1"/>
  <c r="U237" i="66" s="1"/>
  <c r="S10" i="74" l="1"/>
  <c r="P141" i="74"/>
  <c r="AA141" i="74"/>
  <c r="Z141" i="74"/>
  <c r="X10" i="74"/>
  <c r="Y10" i="74" s="1"/>
  <c r="T10" i="74"/>
  <c r="P93" i="74"/>
  <c r="Z93" i="74"/>
  <c r="AA93" i="74"/>
  <c r="H3" i="58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U10" i="74" l="1"/>
  <c r="W93" i="74"/>
  <c r="Y93" i="74" s="1"/>
  <c r="R93" i="74"/>
  <c r="S93" i="74" s="1"/>
  <c r="U93" i="74" s="1"/>
  <c r="V93" i="74"/>
  <c r="R141" i="74"/>
  <c r="S141" i="74" s="1"/>
  <c r="U141" i="74" s="1"/>
  <c r="V141" i="74"/>
  <c r="W141" i="74"/>
  <c r="Y141" i="74" s="1"/>
  <c r="F2" i="72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G45" i="66"/>
  <c r="G45" i="74" s="1"/>
  <c r="G189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D3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3" i="9" l="1"/>
  <c r="D4" i="9"/>
  <c r="C4" i="9" s="1"/>
  <c r="U5" i="9"/>
  <c r="U7" i="9"/>
  <c r="V5" i="9"/>
  <c r="U9" i="9"/>
  <c r="R7" i="9"/>
  <c r="E32" i="22"/>
  <c r="E39" i="22"/>
  <c r="P9" i="9"/>
  <c r="V9" i="9" s="1"/>
  <c r="K42" i="39"/>
  <c r="E140" i="38" s="1"/>
  <c r="C42" i="39"/>
  <c r="E89" i="38" s="1"/>
  <c r="P15" i="39"/>
  <c r="O15" i="39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J8" i="9"/>
  <c r="T8" i="9" s="1"/>
  <c r="P28" i="9" a="1"/>
  <c r="P28" i="9" s="1"/>
  <c r="E5" i="22"/>
  <c r="M28" i="9" a="1"/>
  <c r="M28" i="9" s="1"/>
  <c r="V7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Q15" i="39"/>
  <c r="K45" i="66"/>
  <c r="K189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H467" i="18"/>
  <c r="I467" i="18"/>
  <c r="H468" i="18"/>
  <c r="I468" i="18"/>
  <c r="H472" i="18"/>
  <c r="I472" i="18"/>
  <c r="E63" i="22"/>
  <c r="M40" i="9"/>
  <c r="I213" i="18"/>
  <c r="H213" i="18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K45" i="74" l="1"/>
  <c r="AB189" i="66"/>
  <c r="AC189" i="66" s="1"/>
  <c r="AB45" i="66"/>
  <c r="AC45" i="66" s="1"/>
  <c r="D47" i="17" a="1"/>
  <c r="D47" i="17" s="1"/>
  <c r="F35" i="20" s="1"/>
  <c r="H334" i="37"/>
  <c r="H226" i="37"/>
  <c r="H238" i="37"/>
  <c r="H322" i="37"/>
  <c r="H184" i="37"/>
  <c r="H185" i="37"/>
  <c r="H183" i="37"/>
  <c r="H188" i="37"/>
  <c r="H187" i="37"/>
  <c r="H186" i="37"/>
  <c r="H358" i="37"/>
  <c r="H346" i="37"/>
  <c r="H142" i="37"/>
  <c r="H154" i="37"/>
  <c r="E48" i="17"/>
  <c r="E47" i="17" a="1"/>
  <c r="E47" i="17" s="1"/>
  <c r="D48" i="17"/>
  <c r="P10" i="9"/>
  <c r="T189" i="66"/>
  <c r="Q189" i="66"/>
  <c r="S189" i="66"/>
  <c r="O189" i="66"/>
  <c r="T45" i="66"/>
  <c r="Q45" i="66"/>
  <c r="S45" i="66"/>
  <c r="O45" i="66"/>
  <c r="F464" i="18"/>
  <c r="J464" i="18"/>
  <c r="I7" i="18"/>
  <c r="H7" i="18"/>
  <c r="I306" i="18"/>
  <c r="H306" i="18"/>
  <c r="F95" i="18"/>
  <c r="J95" i="18"/>
  <c r="F342" i="18"/>
  <c r="J342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J468" i="18"/>
  <c r="F468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J135" i="18"/>
  <c r="F135" i="18"/>
  <c r="F183" i="18"/>
  <c r="J183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F136" i="18"/>
  <c r="J136" i="18"/>
  <c r="H54" i="18"/>
  <c r="I54" i="18"/>
  <c r="H47" i="18"/>
  <c r="I47" i="18"/>
  <c r="I48" i="18"/>
  <c r="H48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F219" i="18"/>
  <c r="J219" i="18"/>
  <c r="H262" i="18"/>
  <c r="I262" i="18"/>
  <c r="I259" i="18"/>
  <c r="H259" i="18"/>
  <c r="H254" i="18"/>
  <c r="I254" i="18"/>
  <c r="F345" i="18"/>
  <c r="J345" i="18"/>
  <c r="F171" i="18"/>
  <c r="J171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J179" i="18"/>
  <c r="F179" i="18"/>
  <c r="J425" i="18"/>
  <c r="F425" i="18"/>
  <c r="F467" i="18"/>
  <c r="J467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F218" i="18"/>
  <c r="J218" i="18"/>
  <c r="H260" i="18"/>
  <c r="I260" i="18"/>
  <c r="J87" i="18"/>
  <c r="F87" i="18"/>
  <c r="J428" i="18"/>
  <c r="F428" i="18"/>
  <c r="J384" i="18"/>
  <c r="F384" i="18"/>
  <c r="H53" i="18"/>
  <c r="I53" i="18"/>
  <c r="H50" i="18"/>
  <c r="I50" i="18"/>
  <c r="J129" i="18"/>
  <c r="F129" i="18"/>
  <c r="J178" i="18"/>
  <c r="F178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F216" i="18"/>
  <c r="J216" i="18"/>
  <c r="I263" i="18"/>
  <c r="H263" i="18"/>
  <c r="I257" i="18"/>
  <c r="H257" i="18"/>
  <c r="F477" i="18"/>
  <c r="J477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J432" i="18"/>
  <c r="F432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266" i="18"/>
  <c r="H266" i="18"/>
  <c r="J134" i="18"/>
  <c r="F134" i="18"/>
  <c r="F422" i="18"/>
  <c r="J422" i="18"/>
  <c r="F431" i="18"/>
  <c r="J431" i="18"/>
  <c r="F177" i="18"/>
  <c r="J177" i="18"/>
  <c r="F344" i="18"/>
  <c r="J344" i="18"/>
  <c r="F180" i="18"/>
  <c r="J180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F434" i="18"/>
  <c r="J434" i="18"/>
  <c r="F433" i="18"/>
  <c r="J433" i="18"/>
  <c r="H255" i="18"/>
  <c r="I255" i="18"/>
  <c r="H267" i="18"/>
  <c r="I267" i="18"/>
  <c r="H261" i="18"/>
  <c r="I261" i="18"/>
  <c r="I258" i="18"/>
  <c r="H258" i="18"/>
  <c r="H55" i="18"/>
  <c r="I55" i="18"/>
  <c r="I57" i="18"/>
  <c r="H57" i="18"/>
  <c r="F469" i="18"/>
  <c r="J469" i="18"/>
  <c r="F423" i="18"/>
  <c r="J423" i="18"/>
  <c r="F213" i="18"/>
  <c r="J213" i="18"/>
  <c r="F472" i="18"/>
  <c r="J472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Q45" i="74" l="1"/>
  <c r="W45" i="74" s="1"/>
  <c r="S45" i="74"/>
  <c r="U45" i="74" s="1"/>
  <c r="X45" i="74"/>
  <c r="T45" i="74"/>
  <c r="O45" i="74"/>
  <c r="AC45" i="74"/>
  <c r="AD45" i="74" s="1"/>
  <c r="O45" i="20"/>
  <c r="O11" i="20"/>
  <c r="F39" i="20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U189" i="66"/>
  <c r="P189" i="66"/>
  <c r="R189" i="66" s="1"/>
  <c r="U45" i="66"/>
  <c r="P45" i="66"/>
  <c r="Z45" i="66"/>
  <c r="AA189" i="66"/>
  <c r="Z189" i="66"/>
  <c r="AA45" i="66"/>
  <c r="F301" i="18"/>
  <c r="J301" i="18"/>
  <c r="J258" i="18"/>
  <c r="F258" i="18"/>
  <c r="J304" i="18"/>
  <c r="F304" i="18"/>
  <c r="J46" i="18"/>
  <c r="F46" i="18"/>
  <c r="F6" i="18"/>
  <c r="J6" i="18"/>
  <c r="J5" i="18"/>
  <c r="F5" i="18"/>
  <c r="F51" i="18"/>
  <c r="J51" i="18"/>
  <c r="J261" i="18"/>
  <c r="F261" i="18"/>
  <c r="F260" i="18"/>
  <c r="J260" i="18"/>
  <c r="J52" i="18"/>
  <c r="F52" i="18"/>
  <c r="F259" i="18"/>
  <c r="J259" i="18"/>
  <c r="J309" i="18"/>
  <c r="F309" i="18"/>
  <c r="J300" i="18"/>
  <c r="F300" i="18"/>
  <c r="F56" i="18"/>
  <c r="J56" i="18"/>
  <c r="F307" i="18"/>
  <c r="J307" i="18"/>
  <c r="F308" i="18"/>
  <c r="J308" i="18"/>
  <c r="F262" i="18"/>
  <c r="J262" i="18"/>
  <c r="J44" i="18"/>
  <c r="F44" i="18"/>
  <c r="J14" i="18"/>
  <c r="F14" i="18"/>
  <c r="F297" i="18"/>
  <c r="J297" i="18"/>
  <c r="J305" i="18"/>
  <c r="F305" i="18"/>
  <c r="F45" i="18"/>
  <c r="J45" i="18"/>
  <c r="J2" i="18"/>
  <c r="F2" i="18"/>
  <c r="F48" i="18"/>
  <c r="J48" i="18"/>
  <c r="F298" i="18"/>
  <c r="J298" i="18"/>
  <c r="F264" i="18"/>
  <c r="J264" i="18"/>
  <c r="J15" i="18"/>
  <c r="F15" i="18"/>
  <c r="F256" i="18"/>
  <c r="J256" i="18"/>
  <c r="J12" i="18"/>
  <c r="F12" i="18"/>
  <c r="J57" i="18"/>
  <c r="F57" i="18"/>
  <c r="J255" i="18"/>
  <c r="F255" i="18"/>
  <c r="J4" i="18"/>
  <c r="F4" i="18"/>
  <c r="F266" i="18"/>
  <c r="J266" i="18"/>
  <c r="J303" i="18"/>
  <c r="F303" i="18"/>
  <c r="J263" i="18"/>
  <c r="F263" i="18"/>
  <c r="J10" i="18"/>
  <c r="F10" i="18"/>
  <c r="F8" i="18"/>
  <c r="J8" i="18"/>
  <c r="F47" i="18"/>
  <c r="J47" i="18"/>
  <c r="J302" i="18"/>
  <c r="F302" i="18"/>
  <c r="F306" i="18"/>
  <c r="J306" i="18"/>
  <c r="J257" i="18"/>
  <c r="F257" i="18"/>
  <c r="F265" i="18"/>
  <c r="J265" i="18"/>
  <c r="J55" i="18"/>
  <c r="F55" i="18"/>
  <c r="J3" i="18"/>
  <c r="F3" i="18"/>
  <c r="F254" i="18"/>
  <c r="J254" i="18"/>
  <c r="J267" i="18"/>
  <c r="F267" i="18"/>
  <c r="F9" i="18"/>
  <c r="J9" i="18"/>
  <c r="J53" i="18"/>
  <c r="F53" i="18"/>
  <c r="F49" i="18"/>
  <c r="J49" i="18"/>
  <c r="J13" i="18"/>
  <c r="F13" i="18"/>
  <c r="J299" i="18"/>
  <c r="F299" i="18"/>
  <c r="J50" i="18"/>
  <c r="F50" i="18"/>
  <c r="J54" i="18"/>
  <c r="F54" i="18"/>
  <c r="J296" i="18"/>
  <c r="F296" i="18"/>
  <c r="J11" i="18"/>
  <c r="F11" i="18"/>
  <c r="F7" i="18"/>
  <c r="J7" i="18"/>
  <c r="Y45" i="74" l="1"/>
  <c r="P45" i="74"/>
  <c r="Z45" i="74"/>
  <c r="AA45" i="74"/>
  <c r="R45" i="66"/>
  <c r="V45" i="74" l="1"/>
  <c r="R45" i="74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59" i="18"/>
  <c r="F59" i="18" s="1"/>
  <c r="I238" i="37"/>
  <c r="I142" i="37"/>
  <c r="I226" i="37"/>
  <c r="I334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E269" i="38"/>
  <c r="H460" i="58"/>
  <c r="E242" i="38"/>
  <c r="E234" i="38"/>
  <c r="I462" i="37"/>
  <c r="I462" i="58"/>
  <c r="E261" i="38"/>
  <c r="E216" i="38"/>
  <c r="E255" i="38"/>
  <c r="E210" i="3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E222" i="38"/>
  <c r="H473" i="37"/>
  <c r="H473" i="58"/>
  <c r="H468" i="37"/>
  <c r="H468" i="58"/>
  <c r="E240" i="38"/>
  <c r="H10" i="66"/>
  <c r="I458" i="37"/>
  <c r="I458" i="58"/>
  <c r="E260" i="38"/>
  <c r="E215" i="38"/>
  <c r="I452" i="41"/>
  <c r="E203" i="38"/>
  <c r="E248" i="38"/>
  <c r="E245" i="3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E228" i="38"/>
  <c r="E220" i="38"/>
  <c r="E265" i="38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H12" i="66"/>
  <c r="E207" i="38"/>
  <c r="E252" i="38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H28" i="66"/>
  <c r="E237" i="38"/>
  <c r="E217" i="38"/>
  <c r="E262" i="38"/>
  <c r="E213" i="38"/>
  <c r="E258" i="38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E376" i="38"/>
  <c r="E375" i="38"/>
  <c r="I478" i="58"/>
  <c r="E377" i="38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H23" i="66"/>
  <c r="E244" i="38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E209" i="38"/>
  <c r="E250" i="38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E225" i="38"/>
  <c r="H462" i="58"/>
  <c r="H462" i="37"/>
  <c r="E243" i="38"/>
  <c r="H6" i="66"/>
  <c r="E235" i="38"/>
  <c r="H46" i="66"/>
  <c r="I463" i="37"/>
  <c r="I463" i="58"/>
  <c r="E253" i="38"/>
  <c r="E208" i="38"/>
  <c r="E251" i="38"/>
  <c r="E206" i="38"/>
  <c r="H190" i="66" l="1"/>
  <c r="H46" i="74" s="1"/>
  <c r="H167" i="66"/>
  <c r="H23" i="74" s="1"/>
  <c r="H172" i="66"/>
  <c r="AB172" i="66" s="1"/>
  <c r="AC172" i="66" s="1"/>
  <c r="H156" i="66"/>
  <c r="H12" i="74" s="1"/>
  <c r="H204" i="66"/>
  <c r="L202" i="66"/>
  <c r="H252" i="66"/>
  <c r="L220" i="66"/>
  <c r="H108" i="66"/>
  <c r="H108" i="74" s="1"/>
  <c r="L204" i="66"/>
  <c r="H286" i="66"/>
  <c r="G12" i="39" s="1"/>
  <c r="L238" i="66"/>
  <c r="H142" i="66"/>
  <c r="H124" i="66"/>
  <c r="H102" i="66"/>
  <c r="H102" i="74" s="1"/>
  <c r="H268" i="66"/>
  <c r="H202" i="66"/>
  <c r="H150" i="66"/>
  <c r="H6" i="74" s="1"/>
  <c r="H246" i="66"/>
  <c r="H238" i="66"/>
  <c r="AB238" i="66" s="1"/>
  <c r="AC238" i="66" s="1"/>
  <c r="H198" i="66"/>
  <c r="H220" i="66"/>
  <c r="AB220" i="66" s="1"/>
  <c r="AC220" i="66" s="1"/>
  <c r="H250" i="66"/>
  <c r="G16" i="39" s="1"/>
  <c r="H106" i="66"/>
  <c r="H154" i="66"/>
  <c r="AB154" i="66" s="1"/>
  <c r="AC154" i="66" s="1"/>
  <c r="AB156" i="66"/>
  <c r="AC156" i="66" s="1"/>
  <c r="AB12" i="66"/>
  <c r="AC12" i="66" s="1"/>
  <c r="AB28" i="66"/>
  <c r="AC28" i="66" s="1"/>
  <c r="AB46" i="66"/>
  <c r="AC46" i="66" s="1"/>
  <c r="AB190" i="66"/>
  <c r="AC190" i="66" s="1"/>
  <c r="AB10" i="66"/>
  <c r="AC10" i="66" s="1"/>
  <c r="O46" i="66"/>
  <c r="O12" i="66"/>
  <c r="O28" i="66"/>
  <c r="O190" i="66"/>
  <c r="O156" i="66"/>
  <c r="O172" i="66"/>
  <c r="O10" i="66"/>
  <c r="G171" i="41"/>
  <c r="H171" i="37"/>
  <c r="G225" i="41"/>
  <c r="H225" i="37"/>
  <c r="I225" i="37"/>
  <c r="G329" i="41"/>
  <c r="H329" i="37"/>
  <c r="G387" i="41"/>
  <c r="H387" i="37"/>
  <c r="I387" i="37"/>
  <c r="G324" i="41"/>
  <c r="H324" i="37"/>
  <c r="I324" i="37"/>
  <c r="G194" i="41"/>
  <c r="H194" i="37"/>
  <c r="G248" i="41"/>
  <c r="H248" i="37"/>
  <c r="G352" i="41"/>
  <c r="H352" i="37"/>
  <c r="G404" i="41"/>
  <c r="H404" i="37"/>
  <c r="G265" i="41"/>
  <c r="H265" i="37"/>
  <c r="G421" i="41"/>
  <c r="H421" i="37"/>
  <c r="G182" i="41"/>
  <c r="H182" i="37"/>
  <c r="G290" i="41"/>
  <c r="H290" i="37"/>
  <c r="G175" i="41"/>
  <c r="H175" i="37"/>
  <c r="I175" i="37"/>
  <c r="G252" i="41"/>
  <c r="H252" i="37"/>
  <c r="G300" i="41"/>
  <c r="H300" i="37"/>
  <c r="G357" i="41"/>
  <c r="H357" i="37"/>
  <c r="I357" i="37"/>
  <c r="G302" i="41"/>
  <c r="H302" i="37"/>
  <c r="G221" i="41"/>
  <c r="H221" i="37"/>
  <c r="G244" i="41"/>
  <c r="H244" i="37"/>
  <c r="G401" i="41"/>
  <c r="H401" i="37"/>
  <c r="G151" i="41"/>
  <c r="H151" i="37"/>
  <c r="G370" i="41"/>
  <c r="H370" i="37"/>
  <c r="I370" i="37"/>
  <c r="G192" i="41"/>
  <c r="H192" i="37"/>
  <c r="G339" i="41"/>
  <c r="H339" i="37"/>
  <c r="J357" i="37"/>
  <c r="G416" i="41"/>
  <c r="H416" i="37"/>
  <c r="I416" i="37"/>
  <c r="G170" i="41"/>
  <c r="H170" i="37"/>
  <c r="G283" i="41"/>
  <c r="H283" i="37"/>
  <c r="J387" i="37"/>
  <c r="G179" i="41"/>
  <c r="H179" i="37"/>
  <c r="G236" i="41"/>
  <c r="H236" i="37"/>
  <c r="G340" i="41"/>
  <c r="H340" i="37"/>
  <c r="G367" i="41"/>
  <c r="H367" i="37"/>
  <c r="G143" i="41"/>
  <c r="H143" i="37"/>
  <c r="I143" i="37"/>
  <c r="G202" i="41"/>
  <c r="H202" i="37"/>
  <c r="G256" i="41"/>
  <c r="H256" i="37"/>
  <c r="G414" i="41"/>
  <c r="H414" i="37"/>
  <c r="I414" i="37"/>
  <c r="G196" i="41"/>
  <c r="H196" i="37"/>
  <c r="G250" i="41"/>
  <c r="H250" i="37"/>
  <c r="I250" i="37"/>
  <c r="G298" i="41"/>
  <c r="H298" i="37"/>
  <c r="G355" i="41"/>
  <c r="H355" i="37"/>
  <c r="G251" i="41"/>
  <c r="H251" i="37"/>
  <c r="I251" i="37"/>
  <c r="G206" i="41"/>
  <c r="H206" i="37"/>
  <c r="G368" i="41"/>
  <c r="H368" i="37"/>
  <c r="G310" i="41"/>
  <c r="H310" i="37"/>
  <c r="G253" i="41"/>
  <c r="H253" i="37"/>
  <c r="G301" i="41"/>
  <c r="H301" i="37"/>
  <c r="G359" i="41"/>
  <c r="H359" i="37"/>
  <c r="I359" i="37"/>
  <c r="G409" i="41"/>
  <c r="H409" i="37"/>
  <c r="G383" i="41"/>
  <c r="H383" i="37"/>
  <c r="G199" i="41"/>
  <c r="H199" i="37"/>
  <c r="I199" i="37"/>
  <c r="G178" i="41"/>
  <c r="H178" i="37"/>
  <c r="G304" i="41"/>
  <c r="H304" i="37"/>
  <c r="I304" i="37"/>
  <c r="G363" i="41"/>
  <c r="H363" i="37"/>
  <c r="G412" i="41"/>
  <c r="H412" i="37"/>
  <c r="G399" i="41"/>
  <c r="H399" i="37"/>
  <c r="G281" i="41"/>
  <c r="H281" i="37"/>
  <c r="G335" i="41"/>
  <c r="H335" i="37"/>
  <c r="I335" i="37"/>
  <c r="G145" i="41"/>
  <c r="H145" i="37"/>
  <c r="G204" i="41"/>
  <c r="H204" i="37"/>
  <c r="G306" i="41"/>
  <c r="H306" i="37"/>
  <c r="G365" i="41"/>
  <c r="H365" i="37"/>
  <c r="G214" i="41"/>
  <c r="H214" i="37"/>
  <c r="G268" i="41"/>
  <c r="H268" i="37"/>
  <c r="I268" i="37"/>
  <c r="G376" i="41"/>
  <c r="H376" i="37"/>
  <c r="G200" i="41"/>
  <c r="H200" i="37"/>
  <c r="I200" i="37"/>
  <c r="G328" i="41"/>
  <c r="H328" i="37"/>
  <c r="G345" i="41"/>
  <c r="H345" i="37"/>
  <c r="I345" i="37"/>
  <c r="G149" i="41"/>
  <c r="H149" i="37"/>
  <c r="G309" i="41"/>
  <c r="H309" i="37"/>
  <c r="G208" i="41"/>
  <c r="H208" i="37"/>
  <c r="I208" i="37"/>
  <c r="G224" i="41"/>
  <c r="H224" i="37"/>
  <c r="G360" i="41"/>
  <c r="H360" i="37"/>
  <c r="I360" i="37"/>
  <c r="J359" i="37"/>
  <c r="G193" i="41"/>
  <c r="H193" i="37"/>
  <c r="G295" i="41"/>
  <c r="H295" i="37"/>
  <c r="I295" i="37"/>
  <c r="G351" i="41"/>
  <c r="H351" i="37"/>
  <c r="G415" i="41"/>
  <c r="H415" i="37"/>
  <c r="I415" i="37"/>
  <c r="G153" i="41"/>
  <c r="H153" i="37"/>
  <c r="I153" i="37"/>
  <c r="G210" i="41"/>
  <c r="H210" i="37"/>
  <c r="G312" i="41"/>
  <c r="H312" i="37"/>
  <c r="I312" i="37"/>
  <c r="G173" i="41"/>
  <c r="H173" i="37"/>
  <c r="G228" i="41"/>
  <c r="H228" i="37"/>
  <c r="I228" i="37"/>
  <c r="G332" i="41"/>
  <c r="H332" i="37"/>
  <c r="G389" i="41"/>
  <c r="H389" i="37"/>
  <c r="I389" i="37"/>
  <c r="G258" i="41"/>
  <c r="H258" i="37"/>
  <c r="I258" i="37"/>
  <c r="G307" i="41"/>
  <c r="H307" i="37"/>
  <c r="G159" i="41"/>
  <c r="H159" i="37"/>
  <c r="G316" i="41"/>
  <c r="H316" i="37"/>
  <c r="G207" i="41"/>
  <c r="H207" i="37"/>
  <c r="I207" i="37"/>
  <c r="G261" i="41"/>
  <c r="H261" i="37"/>
  <c r="G369" i="41"/>
  <c r="H369" i="37"/>
  <c r="I369" i="37"/>
  <c r="G417" i="41"/>
  <c r="H417" i="37"/>
  <c r="G418" i="41"/>
  <c r="H418" i="37"/>
  <c r="G254" i="41"/>
  <c r="H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G403" i="41"/>
  <c r="H403" i="37"/>
  <c r="G390" i="41"/>
  <c r="H390" i="37"/>
  <c r="G264" i="41"/>
  <c r="H264" i="37"/>
  <c r="G372" i="41"/>
  <c r="H372" i="37"/>
  <c r="G420" i="41"/>
  <c r="H420" i="37"/>
  <c r="G239" i="41"/>
  <c r="H239" i="37"/>
  <c r="I239" i="37"/>
  <c r="G289" i="41"/>
  <c r="H289" i="37"/>
  <c r="G343" i="41"/>
  <c r="H343" i="37"/>
  <c r="G391" i="41"/>
  <c r="H391" i="37"/>
  <c r="G266" i="41"/>
  <c r="H266" i="37"/>
  <c r="G374" i="41"/>
  <c r="H374" i="37"/>
  <c r="G222" i="41"/>
  <c r="H222" i="37"/>
  <c r="G276" i="41"/>
  <c r="H276" i="37"/>
  <c r="I276" i="37"/>
  <c r="G384" i="41"/>
  <c r="H384" i="37"/>
  <c r="G216" i="41"/>
  <c r="H216" i="37"/>
  <c r="I216" i="37"/>
  <c r="G349" i="41"/>
  <c r="H349" i="37"/>
  <c r="G407" i="41"/>
  <c r="H407" i="37"/>
  <c r="I407" i="37"/>
  <c r="G215" i="41"/>
  <c r="H215" i="37"/>
  <c r="G269" i="41"/>
  <c r="H269" i="37"/>
  <c r="I269" i="37"/>
  <c r="G377" i="41"/>
  <c r="H377" i="37"/>
  <c r="G235" i="41"/>
  <c r="H235" i="37"/>
  <c r="G386" i="41"/>
  <c r="H386" i="37"/>
  <c r="J153" i="37"/>
  <c r="J199" i="37"/>
  <c r="J258" i="37"/>
  <c r="J414" i="37"/>
  <c r="G287" i="41"/>
  <c r="H287" i="37"/>
  <c r="I287" i="37"/>
  <c r="G395" i="41"/>
  <c r="H395" i="37"/>
  <c r="G141" i="41"/>
  <c r="H141" i="37"/>
  <c r="I141" i="37"/>
  <c r="G255" i="41"/>
  <c r="H255" i="37"/>
  <c r="G303" i="41"/>
  <c r="H303" i="37"/>
  <c r="I303" i="37"/>
  <c r="G411" i="41"/>
  <c r="H411" i="37"/>
  <c r="G422" i="41"/>
  <c r="H422" i="37"/>
  <c r="G147" i="41"/>
  <c r="H147" i="37"/>
  <c r="G218" i="41"/>
  <c r="H218" i="37"/>
  <c r="I218" i="37"/>
  <c r="G380" i="41"/>
  <c r="H380" i="37"/>
  <c r="I380" i="37"/>
  <c r="G181" i="41"/>
  <c r="H181" i="37"/>
  <c r="G397" i="41"/>
  <c r="H397" i="37"/>
  <c r="I397" i="37"/>
  <c r="G156" i="41"/>
  <c r="H156" i="37"/>
  <c r="I156" i="37"/>
  <c r="G212" i="41"/>
  <c r="H212" i="37"/>
  <c r="G314" i="41"/>
  <c r="H314" i="37"/>
  <c r="I314" i="37"/>
  <c r="G375" i="41"/>
  <c r="H375" i="37"/>
  <c r="G168" i="41"/>
  <c r="H168" i="37"/>
  <c r="G325" i="41"/>
  <c r="H325" i="37"/>
  <c r="H11" i="37"/>
  <c r="I11" i="37"/>
  <c r="J11" i="37"/>
  <c r="G160" i="41"/>
  <c r="H160" i="37"/>
  <c r="G317" i="41"/>
  <c r="H317" i="37"/>
  <c r="G410" i="41"/>
  <c r="H410" i="37"/>
  <c r="G197" i="41"/>
  <c r="H197" i="37"/>
  <c r="J269" i="37"/>
  <c r="J303" i="37"/>
  <c r="J321" i="37"/>
  <c r="J260" i="37"/>
  <c r="J416" i="37"/>
  <c r="H13" i="37"/>
  <c r="I13" i="37"/>
  <c r="J13" i="37"/>
  <c r="G273" i="41"/>
  <c r="H273" i="37"/>
  <c r="G381" i="41"/>
  <c r="H381" i="37"/>
  <c r="G164" i="41"/>
  <c r="H164" i="37"/>
  <c r="G272" i="41"/>
  <c r="H272" i="37"/>
  <c r="G320" i="41"/>
  <c r="H320" i="37"/>
  <c r="G157" i="41"/>
  <c r="H157" i="37"/>
  <c r="G195" i="41"/>
  <c r="H195" i="37"/>
  <c r="G249" i="41"/>
  <c r="H249" i="37"/>
  <c r="I249" i="37"/>
  <c r="G297" i="41"/>
  <c r="H297" i="37"/>
  <c r="G353" i="41"/>
  <c r="H353" i="37"/>
  <c r="G166" i="41"/>
  <c r="H166" i="37"/>
  <c r="I166" i="37"/>
  <c r="J166" i="37"/>
  <c r="G220" i="41"/>
  <c r="H220" i="37"/>
  <c r="G274" i="41"/>
  <c r="H274" i="37"/>
  <c r="G382" i="41"/>
  <c r="H382" i="37"/>
  <c r="G176" i="41"/>
  <c r="H176" i="37"/>
  <c r="I176" i="37"/>
  <c r="G232" i="41"/>
  <c r="H232" i="37"/>
  <c r="G336" i="41"/>
  <c r="H336" i="37"/>
  <c r="I336" i="37"/>
  <c r="G392" i="41"/>
  <c r="H392" i="37"/>
  <c r="G245" i="41"/>
  <c r="H245" i="37"/>
  <c r="G169" i="41"/>
  <c r="H169" i="37"/>
  <c r="G223" i="41"/>
  <c r="H223" i="37"/>
  <c r="G327" i="41"/>
  <c r="H327" i="37"/>
  <c r="G385" i="41"/>
  <c r="H385" i="37"/>
  <c r="G205" i="41"/>
  <c r="H205" i="37"/>
  <c r="G278" i="41"/>
  <c r="H278" i="37"/>
  <c r="I278" i="37"/>
  <c r="J216" i="37"/>
  <c r="J208" i="37"/>
  <c r="J324" i="37"/>
  <c r="J176" i="37"/>
  <c r="J415" i="37"/>
  <c r="G394" i="41"/>
  <c r="H394" i="37"/>
  <c r="G213" i="41"/>
  <c r="H213" i="37"/>
  <c r="G227" i="41"/>
  <c r="H227" i="37"/>
  <c r="I227" i="37"/>
  <c r="G331" i="41"/>
  <c r="H331" i="37"/>
  <c r="G405" i="41"/>
  <c r="H405" i="37"/>
  <c r="I405" i="37"/>
  <c r="G323" i="41"/>
  <c r="H323" i="37"/>
  <c r="I323" i="37"/>
  <c r="G284" i="41"/>
  <c r="H284" i="37"/>
  <c r="G378" i="41"/>
  <c r="H378" i="37"/>
  <c r="I378" i="37"/>
  <c r="G277" i="41"/>
  <c r="H277" i="37"/>
  <c r="I277" i="37"/>
  <c r="G270" i="41"/>
  <c r="H270" i="37"/>
  <c r="G286" i="41"/>
  <c r="H286" i="37"/>
  <c r="I286" i="37"/>
  <c r="G241" i="41"/>
  <c r="H241" i="37"/>
  <c r="J218" i="37"/>
  <c r="J304" i="37"/>
  <c r="J207" i="37"/>
  <c r="J239" i="37"/>
  <c r="J175" i="37"/>
  <c r="J336" i="37"/>
  <c r="G279" i="41"/>
  <c r="H279" i="37"/>
  <c r="G296" i="41"/>
  <c r="H296" i="37"/>
  <c r="I296" i="37"/>
  <c r="G356" i="41"/>
  <c r="H356" i="37"/>
  <c r="G219" i="41"/>
  <c r="H219" i="37"/>
  <c r="G267" i="41"/>
  <c r="H267" i="37"/>
  <c r="I267" i="37"/>
  <c r="G201" i="41"/>
  <c r="H201" i="37"/>
  <c r="G361" i="41"/>
  <c r="H361" i="37"/>
  <c r="G209" i="41"/>
  <c r="H209" i="37"/>
  <c r="I209" i="37"/>
  <c r="G311" i="41"/>
  <c r="H311" i="37"/>
  <c r="G371" i="41"/>
  <c r="H371" i="37"/>
  <c r="I371" i="37"/>
  <c r="G419" i="41"/>
  <c r="H419" i="37"/>
  <c r="G172" i="41"/>
  <c r="H172" i="37"/>
  <c r="G280" i="41"/>
  <c r="H280" i="37"/>
  <c r="G388" i="41"/>
  <c r="H388" i="37"/>
  <c r="I388" i="37"/>
  <c r="G231" i="41"/>
  <c r="H231" i="37"/>
  <c r="G144" i="41"/>
  <c r="H144" i="37"/>
  <c r="I144" i="37"/>
  <c r="G257" i="41"/>
  <c r="H257" i="37"/>
  <c r="G305" i="41"/>
  <c r="H305" i="37"/>
  <c r="I305" i="37"/>
  <c r="G413" i="41"/>
  <c r="H413" i="37"/>
  <c r="G398" i="41"/>
  <c r="H398" i="37"/>
  <c r="I398" i="37"/>
  <c r="G229" i="41"/>
  <c r="H229" i="37"/>
  <c r="G282" i="41"/>
  <c r="H282" i="37"/>
  <c r="G190" i="41"/>
  <c r="H190" i="37"/>
  <c r="I190" i="37"/>
  <c r="G292" i="41"/>
  <c r="H292" i="37"/>
  <c r="G262" i="41"/>
  <c r="H262" i="37"/>
  <c r="G402" i="41"/>
  <c r="H402" i="37"/>
  <c r="G177" i="41"/>
  <c r="H177" i="37"/>
  <c r="G285" i="41"/>
  <c r="H285" i="37"/>
  <c r="I285" i="37"/>
  <c r="G337" i="41"/>
  <c r="H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G263" i="41"/>
  <c r="H263" i="37"/>
  <c r="G180" i="41"/>
  <c r="H180" i="37"/>
  <c r="G237" i="41"/>
  <c r="H237" i="37"/>
  <c r="I237" i="37"/>
  <c r="G288" i="41"/>
  <c r="H288" i="37"/>
  <c r="G396" i="41"/>
  <c r="H396" i="37"/>
  <c r="I396" i="37"/>
  <c r="G203" i="41"/>
  <c r="H203" i="37"/>
  <c r="G364" i="41"/>
  <c r="H364" i="37"/>
  <c r="G174" i="41"/>
  <c r="H174" i="37"/>
  <c r="I174" i="37"/>
  <c r="G333" i="41"/>
  <c r="H333" i="37"/>
  <c r="I333" i="37"/>
  <c r="G406" i="41"/>
  <c r="H406" i="37"/>
  <c r="I406" i="37"/>
  <c r="G243" i="41"/>
  <c r="H243" i="37"/>
  <c r="G347" i="41"/>
  <c r="H347" i="37"/>
  <c r="I347" i="37"/>
  <c r="G400" i="41"/>
  <c r="H400" i="37"/>
  <c r="G167" i="41"/>
  <c r="H167" i="37"/>
  <c r="I167" i="37"/>
  <c r="J167" i="37"/>
  <c r="G233" i="41"/>
  <c r="H233" i="37"/>
  <c r="G393" i="41"/>
  <c r="H393" i="37"/>
  <c r="G291" i="41"/>
  <c r="H291" i="37"/>
  <c r="J144" i="37"/>
  <c r="J371" i="37"/>
  <c r="J398" i="37"/>
  <c r="J287" i="37"/>
  <c r="J276" i="37"/>
  <c r="G148" i="41"/>
  <c r="H148" i="37"/>
  <c r="G308" i="41"/>
  <c r="H308" i="37"/>
  <c r="H12" i="37"/>
  <c r="I12" i="37"/>
  <c r="J12" i="37"/>
  <c r="G163" i="41"/>
  <c r="H163" i="37"/>
  <c r="G319" i="41"/>
  <c r="H319" i="37"/>
  <c r="G217" i="41"/>
  <c r="H217" i="37"/>
  <c r="I217" i="37"/>
  <c r="G271" i="41"/>
  <c r="H271" i="37"/>
  <c r="G379" i="41"/>
  <c r="H379" i="37"/>
  <c r="I379" i="37"/>
  <c r="G275" i="41"/>
  <c r="H275" i="37"/>
  <c r="G341" i="41"/>
  <c r="H341" i="37"/>
  <c r="G299" i="41"/>
  <c r="H299" i="37"/>
  <c r="G155" i="41"/>
  <c r="H155" i="37"/>
  <c r="I155" i="37"/>
  <c r="G211" i="41"/>
  <c r="H211" i="37"/>
  <c r="G313" i="41"/>
  <c r="H313" i="37"/>
  <c r="I313" i="37"/>
  <c r="G373" i="41"/>
  <c r="H373" i="37"/>
  <c r="G189" i="41"/>
  <c r="H189" i="37"/>
  <c r="I189" i="37"/>
  <c r="G240" i="41"/>
  <c r="H240" i="37"/>
  <c r="I240" i="37"/>
  <c r="G344" i="41"/>
  <c r="H344" i="37"/>
  <c r="G198" i="41"/>
  <c r="H198" i="37"/>
  <c r="I198" i="37"/>
  <c r="G408" i="41"/>
  <c r="H408" i="37"/>
  <c r="G191" i="41"/>
  <c r="H191" i="37"/>
  <c r="I191" i="37"/>
  <c r="G293" i="41"/>
  <c r="H293" i="37"/>
  <c r="G348" i="41"/>
  <c r="H348" i="37"/>
  <c r="I348" i="37"/>
  <c r="G315" i="41"/>
  <c r="H315" i="37"/>
  <c r="G161" i="41"/>
  <c r="H161" i="37"/>
  <c r="G318" i="41"/>
  <c r="H318" i="37"/>
  <c r="J369" i="37"/>
  <c r="J396" i="37"/>
  <c r="J294" i="37"/>
  <c r="J277" i="37"/>
  <c r="J250" i="37"/>
  <c r="J333" i="37"/>
  <c r="G13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H94" i="66"/>
  <c r="H94" i="74" s="1"/>
  <c r="H60" i="66"/>
  <c r="H60" i="74" s="1"/>
  <c r="H58" i="66"/>
  <c r="H58" i="74" s="1"/>
  <c r="H54" i="66"/>
  <c r="H76" i="66"/>
  <c r="H76" i="74" s="1"/>
  <c r="P156" i="66"/>
  <c r="O220" i="66"/>
  <c r="Z156" i="66"/>
  <c r="P12" i="66"/>
  <c r="Z12" i="66"/>
  <c r="AA156" i="66"/>
  <c r="AA12" i="66"/>
  <c r="O204" i="66"/>
  <c r="O238" i="66"/>
  <c r="H468" i="41"/>
  <c r="H183" i="41"/>
  <c r="J462" i="41"/>
  <c r="H463" i="41"/>
  <c r="I468" i="41"/>
  <c r="I458" i="41"/>
  <c r="H472" i="41"/>
  <c r="J458" i="41"/>
  <c r="J469" i="41"/>
  <c r="J472" i="41"/>
  <c r="H462" i="41"/>
  <c r="I334" i="58"/>
  <c r="H11" i="66"/>
  <c r="H451" i="37"/>
  <c r="H113" i="66"/>
  <c r="J449" i="37"/>
  <c r="J450" i="37"/>
  <c r="H125" i="66"/>
  <c r="I447" i="58"/>
  <c r="H240" i="66"/>
  <c r="I416" i="58"/>
  <c r="I251" i="58"/>
  <c r="H442" i="37"/>
  <c r="H25" i="66"/>
  <c r="C37" i="63"/>
  <c r="H232" i="66"/>
  <c r="I446" i="58"/>
  <c r="H188" i="66"/>
  <c r="H453" i="58"/>
  <c r="I477" i="41"/>
  <c r="E358" i="38"/>
  <c r="H224" i="66"/>
  <c r="I448" i="58"/>
  <c r="H166" i="66"/>
  <c r="H454" i="58"/>
  <c r="H184" i="66"/>
  <c r="H446" i="58"/>
  <c r="H30" i="66"/>
  <c r="H445" i="37"/>
  <c r="H452" i="37"/>
  <c r="H18" i="66"/>
  <c r="H18" i="74" s="1"/>
  <c r="E386" i="38"/>
  <c r="J444" i="58"/>
  <c r="H282" i="66"/>
  <c r="H164" i="66"/>
  <c r="H441" i="58"/>
  <c r="H280" i="66"/>
  <c r="J446" i="58"/>
  <c r="H426" i="58"/>
  <c r="H176" i="66"/>
  <c r="H448" i="58"/>
  <c r="H272" i="58"/>
  <c r="H442" i="58"/>
  <c r="H169" i="66"/>
  <c r="H8" i="41"/>
  <c r="C7" i="63"/>
  <c r="H44" i="66"/>
  <c r="H453" i="37"/>
  <c r="H221" i="66"/>
  <c r="I450" i="58"/>
  <c r="H260" i="66"/>
  <c r="J441" i="58"/>
  <c r="H101" i="66"/>
  <c r="J443" i="37"/>
  <c r="H184" i="41"/>
  <c r="H265" i="66"/>
  <c r="J442" i="58"/>
  <c r="I469" i="41"/>
  <c r="H452" i="58"/>
  <c r="H162" i="66"/>
  <c r="E389" i="38"/>
  <c r="H48" i="66"/>
  <c r="H447" i="37"/>
  <c r="E391" i="38"/>
  <c r="J452" i="58"/>
  <c r="H258" i="66"/>
  <c r="H440" i="58"/>
  <c r="H170" i="66"/>
  <c r="H126" i="66"/>
  <c r="J445" i="37"/>
  <c r="H20" i="66"/>
  <c r="H20" i="74" s="1"/>
  <c r="H441" i="37"/>
  <c r="H136" i="66"/>
  <c r="H136" i="74" s="1"/>
  <c r="J446" i="37"/>
  <c r="J313" i="58"/>
  <c r="I304" i="58"/>
  <c r="H196" i="58"/>
  <c r="H173" i="58"/>
  <c r="I443" i="37"/>
  <c r="H53" i="66"/>
  <c r="H450" i="37"/>
  <c r="H29" i="66"/>
  <c r="H155" i="66"/>
  <c r="H451" i="58"/>
  <c r="H77" i="66"/>
  <c r="H77" i="74" s="1"/>
  <c r="I450" i="37"/>
  <c r="H116" i="66"/>
  <c r="H116" i="74" s="1"/>
  <c r="J441" i="37"/>
  <c r="J443" i="58"/>
  <c r="H245" i="66"/>
  <c r="H121" i="66"/>
  <c r="J442" i="37"/>
  <c r="H447" i="58"/>
  <c r="H192" i="66"/>
  <c r="H114" i="66"/>
  <c r="E388" i="38"/>
  <c r="J452" i="37"/>
  <c r="H440" i="37"/>
  <c r="H26" i="66"/>
  <c r="J445" i="58"/>
  <c r="H270" i="66"/>
  <c r="H96" i="66"/>
  <c r="H96" i="74" s="1"/>
  <c r="I447" i="37"/>
  <c r="H17" i="66"/>
  <c r="H17" i="74" s="1"/>
  <c r="H449" i="37"/>
  <c r="H262" i="66"/>
  <c r="J454" i="58"/>
  <c r="H118" i="66"/>
  <c r="J454" i="37"/>
  <c r="H140" i="66"/>
  <c r="J453" i="37"/>
  <c r="J11" i="58"/>
  <c r="I11" i="58"/>
  <c r="H11" i="58"/>
  <c r="H161" i="66"/>
  <c r="H449" i="58"/>
  <c r="I378" i="58"/>
  <c r="H78" i="66"/>
  <c r="I445" i="37"/>
  <c r="I441" i="58"/>
  <c r="H212" i="66"/>
  <c r="E359" i="38"/>
  <c r="I478" i="41"/>
  <c r="E382" i="38"/>
  <c r="E380" i="38"/>
  <c r="E381" i="38"/>
  <c r="J478" i="58"/>
  <c r="E383" i="38" s="1"/>
  <c r="J478" i="37"/>
  <c r="H70" i="66"/>
  <c r="I454" i="37"/>
  <c r="H257" i="66"/>
  <c r="J449" i="58"/>
  <c r="H269" i="66"/>
  <c r="J450" i="58"/>
  <c r="J463" i="41"/>
  <c r="H32" i="66"/>
  <c r="H32" i="74" s="1"/>
  <c r="H448" i="37"/>
  <c r="H284" i="66"/>
  <c r="J453" i="58"/>
  <c r="G11" i="41"/>
  <c r="H92" i="66"/>
  <c r="I453" i="37"/>
  <c r="H460" i="41"/>
  <c r="J473" i="41"/>
  <c r="I445" i="58"/>
  <c r="H222" i="66"/>
  <c r="H73" i="66"/>
  <c r="I442" i="37"/>
  <c r="H68" i="66"/>
  <c r="I441" i="37"/>
  <c r="E357" i="38"/>
  <c r="I476" i="41"/>
  <c r="H444" i="58"/>
  <c r="H186" i="66"/>
  <c r="G13" i="41"/>
  <c r="H234" i="66"/>
  <c r="I444" i="58"/>
  <c r="C17" i="63"/>
  <c r="I8" i="41"/>
  <c r="E387" i="38"/>
  <c r="H66" i="66"/>
  <c r="I452" i="37"/>
  <c r="I449" i="37"/>
  <c r="H65" i="66"/>
  <c r="H65" i="74" s="1"/>
  <c r="H236" i="66"/>
  <c r="I453" i="58"/>
  <c r="H450" i="58"/>
  <c r="H173" i="66"/>
  <c r="I475" i="41"/>
  <c r="E356" i="38"/>
  <c r="H311" i="58"/>
  <c r="J8" i="58"/>
  <c r="H144" i="66"/>
  <c r="J447" i="37"/>
  <c r="G12" i="41"/>
  <c r="H217" i="66"/>
  <c r="I442" i="58"/>
  <c r="H149" i="66"/>
  <c r="H443" i="58"/>
  <c r="H128" i="66"/>
  <c r="J448" i="37"/>
  <c r="H42" i="66"/>
  <c r="H42" i="74" s="1"/>
  <c r="H444" i="37"/>
  <c r="I13" i="58"/>
  <c r="J13" i="58"/>
  <c r="H13" i="58"/>
  <c r="H90" i="66"/>
  <c r="H90" i="74" s="1"/>
  <c r="I444" i="37"/>
  <c r="E259" i="38"/>
  <c r="E214" i="38"/>
  <c r="J460" i="41"/>
  <c r="C47" i="63"/>
  <c r="H210" i="66"/>
  <c r="I452" i="58"/>
  <c r="E390" i="38"/>
  <c r="H473" i="41"/>
  <c r="H209" i="66"/>
  <c r="I449" i="58"/>
  <c r="H458" i="41"/>
  <c r="H197" i="66"/>
  <c r="I443" i="58"/>
  <c r="H214" i="66"/>
  <c r="I454" i="58"/>
  <c r="I440" i="37"/>
  <c r="J251" i="58"/>
  <c r="J287" i="58"/>
  <c r="I277" i="58"/>
  <c r="I463" i="41"/>
  <c r="H288" i="66"/>
  <c r="J447" i="58"/>
  <c r="J12" i="58"/>
  <c r="H12" i="58"/>
  <c r="I12" i="58"/>
  <c r="H88" i="66"/>
  <c r="H88" i="74" s="1"/>
  <c r="I446" i="37"/>
  <c r="H443" i="37"/>
  <c r="H5" i="66"/>
  <c r="H5" i="74" s="1"/>
  <c r="H272" i="66"/>
  <c r="J448" i="58"/>
  <c r="H80" i="66"/>
  <c r="H80" i="74" s="1"/>
  <c r="I448" i="37"/>
  <c r="H22" i="66"/>
  <c r="H22" i="74" s="1"/>
  <c r="H454" i="37"/>
  <c r="J468" i="41"/>
  <c r="H446" i="37"/>
  <c r="H40" i="66"/>
  <c r="H174" i="66"/>
  <c r="H445" i="58"/>
  <c r="H138" i="66"/>
  <c r="H138" i="74" s="1"/>
  <c r="J444" i="37"/>
  <c r="I460" i="41"/>
  <c r="H469" i="41"/>
  <c r="I472" i="41"/>
  <c r="I462" i="41"/>
  <c r="I473" i="41"/>
  <c r="H101" i="74" l="1"/>
  <c r="H140" i="74"/>
  <c r="AC140" i="74" s="1"/>
  <c r="AD140" i="74" s="1"/>
  <c r="H48" i="74"/>
  <c r="O48" i="74" s="1"/>
  <c r="P48" i="74" s="1"/>
  <c r="H25" i="74"/>
  <c r="AB204" i="66"/>
  <c r="AC204" i="66" s="1"/>
  <c r="H114" i="74"/>
  <c r="H44" i="74"/>
  <c r="H142" i="74"/>
  <c r="AB202" i="66"/>
  <c r="AC202" i="66" s="1"/>
  <c r="G14" i="39"/>
  <c r="AC12" i="74"/>
  <c r="AD12" i="74" s="1"/>
  <c r="O12" i="74"/>
  <c r="O140" i="74"/>
  <c r="H128" i="74"/>
  <c r="H118" i="74"/>
  <c r="O202" i="66"/>
  <c r="H124" i="74"/>
  <c r="O44" i="74"/>
  <c r="AA44" i="74" s="1"/>
  <c r="AC44" i="74"/>
  <c r="AD44" i="74" s="1"/>
  <c r="AC48" i="74"/>
  <c r="AD48" i="74" s="1"/>
  <c r="H78" i="74"/>
  <c r="H29" i="74"/>
  <c r="H106" i="74"/>
  <c r="H40" i="74"/>
  <c r="H92" i="74"/>
  <c r="H70" i="74"/>
  <c r="H126" i="74"/>
  <c r="H53" i="74"/>
  <c r="H125" i="74"/>
  <c r="O125" i="74" s="1"/>
  <c r="H10" i="74"/>
  <c r="H121" i="74"/>
  <c r="AA190" i="66"/>
  <c r="H144" i="74"/>
  <c r="O144" i="74" s="1"/>
  <c r="P144" i="74" s="1"/>
  <c r="H68" i="74"/>
  <c r="H113" i="74"/>
  <c r="AC46" i="74"/>
  <c r="AD46" i="74" s="1"/>
  <c r="O46" i="74"/>
  <c r="AC22" i="74"/>
  <c r="O22" i="74"/>
  <c r="H66" i="74"/>
  <c r="O32" i="74"/>
  <c r="P32" i="74" s="1"/>
  <c r="AC32" i="74"/>
  <c r="H30" i="74"/>
  <c r="H54" i="74"/>
  <c r="O154" i="66"/>
  <c r="P154" i="66" s="1"/>
  <c r="R154" i="66" s="1"/>
  <c r="H28" i="74"/>
  <c r="H73" i="74"/>
  <c r="H26" i="74"/>
  <c r="H11" i="74"/>
  <c r="L76" i="66"/>
  <c r="L76" i="74" s="1"/>
  <c r="L250" i="66"/>
  <c r="O250" i="66" s="1"/>
  <c r="AA32" i="74"/>
  <c r="Z32" i="74"/>
  <c r="AA140" i="74"/>
  <c r="Z140" i="74"/>
  <c r="L268" i="66"/>
  <c r="O268" i="66" s="1"/>
  <c r="AC144" i="74"/>
  <c r="AD144" i="74" s="1"/>
  <c r="L286" i="66"/>
  <c r="O286" i="66" s="1"/>
  <c r="L252" i="66"/>
  <c r="O252" i="66" s="1"/>
  <c r="G175" i="66"/>
  <c r="AB175" i="66" s="1"/>
  <c r="AC175" i="66" s="1"/>
  <c r="L94" i="66"/>
  <c r="L94" i="74" s="1"/>
  <c r="L58" i="66"/>
  <c r="L58" i="74" s="1"/>
  <c r="AC125" i="74"/>
  <c r="AD125" i="74" s="1"/>
  <c r="AA22" i="74"/>
  <c r="Z22" i="74"/>
  <c r="H215" i="66"/>
  <c r="L60" i="66"/>
  <c r="L60" i="74" s="1"/>
  <c r="AA154" i="66"/>
  <c r="AA28" i="66"/>
  <c r="AB76" i="66"/>
  <c r="AC76" i="66" s="1"/>
  <c r="AB252" i="66"/>
  <c r="AC252" i="66" s="1"/>
  <c r="AB272" i="66"/>
  <c r="AC272" i="66" s="1"/>
  <c r="AB144" i="66"/>
  <c r="AC144" i="66" s="1"/>
  <c r="AB269" i="66"/>
  <c r="AC269" i="66" s="1"/>
  <c r="AB173" i="66"/>
  <c r="AC173" i="66" s="1"/>
  <c r="AB118" i="66"/>
  <c r="AC118" i="66" s="1"/>
  <c r="AB166" i="66"/>
  <c r="AC166" i="66" s="1"/>
  <c r="AA172" i="66"/>
  <c r="AB58" i="66"/>
  <c r="AC58" i="66" s="1"/>
  <c r="AB128" i="66"/>
  <c r="AC128" i="66" s="1"/>
  <c r="AB44" i="66"/>
  <c r="AC44" i="66" s="1"/>
  <c r="AB48" i="66"/>
  <c r="AC48" i="66" s="1"/>
  <c r="AB262" i="66"/>
  <c r="AC262" i="66" s="1"/>
  <c r="AB192" i="66"/>
  <c r="AC192" i="66" s="1"/>
  <c r="AB29" i="66"/>
  <c r="AC29" i="66" s="1"/>
  <c r="AB268" i="66"/>
  <c r="AB125" i="66"/>
  <c r="AC125" i="66" s="1"/>
  <c r="AB140" i="66"/>
  <c r="AC140" i="66" s="1"/>
  <c r="AB22" i="66"/>
  <c r="AC22" i="66" s="1"/>
  <c r="AB284" i="66"/>
  <c r="AC284" i="66" s="1"/>
  <c r="AB188" i="66"/>
  <c r="AC188" i="66" s="1"/>
  <c r="AB288" i="66"/>
  <c r="AC288" i="66" s="1"/>
  <c r="P28" i="66"/>
  <c r="R28" i="66" s="1"/>
  <c r="AB32" i="66"/>
  <c r="AC32" i="66" s="1"/>
  <c r="AB176" i="66"/>
  <c r="AC176" i="66" s="1"/>
  <c r="Z28" i="66"/>
  <c r="P172" i="66"/>
  <c r="R172" i="66" s="1"/>
  <c r="P190" i="66"/>
  <c r="R190" i="66" s="1"/>
  <c r="Z172" i="66"/>
  <c r="P46" i="66"/>
  <c r="R46" i="66" s="1"/>
  <c r="AA46" i="66"/>
  <c r="Z46" i="66"/>
  <c r="Z190" i="66"/>
  <c r="AC268" i="66"/>
  <c r="O44" i="66"/>
  <c r="F13" i="39"/>
  <c r="O125" i="66"/>
  <c r="F14" i="39"/>
  <c r="F12" i="39"/>
  <c r="O262" i="66"/>
  <c r="O22" i="66"/>
  <c r="O284" i="66"/>
  <c r="O188" i="66"/>
  <c r="F16" i="39"/>
  <c r="O192" i="66"/>
  <c r="O32" i="66"/>
  <c r="O176" i="66"/>
  <c r="P32" i="66" s="1"/>
  <c r="O29" i="66"/>
  <c r="Z29" i="66" s="1"/>
  <c r="O288" i="66"/>
  <c r="O175" i="66"/>
  <c r="O272" i="66"/>
  <c r="O140" i="66"/>
  <c r="Z140" i="66" s="1"/>
  <c r="O48" i="66"/>
  <c r="O269" i="66"/>
  <c r="O173" i="66"/>
  <c r="O118" i="66"/>
  <c r="O166" i="66"/>
  <c r="H424" i="37"/>
  <c r="H423" i="37"/>
  <c r="O58" i="66"/>
  <c r="P202" i="66" s="1"/>
  <c r="R202" i="66" s="1"/>
  <c r="S202" i="66" s="1"/>
  <c r="U202" i="66" s="1"/>
  <c r="O76" i="66"/>
  <c r="Z220" i="66" s="1"/>
  <c r="G27" i="39"/>
  <c r="O60" i="66"/>
  <c r="P204" i="66" s="1"/>
  <c r="R204" i="66" s="1"/>
  <c r="S204" i="66" s="1"/>
  <c r="U204" i="66" s="1"/>
  <c r="G28" i="39"/>
  <c r="O94" i="66"/>
  <c r="Z238" i="66" s="1"/>
  <c r="N66" i="66"/>
  <c r="N210" i="66"/>
  <c r="N170" i="66"/>
  <c r="N26" i="66"/>
  <c r="H71" i="66"/>
  <c r="H71" i="74" s="1"/>
  <c r="I446" i="41"/>
  <c r="H74" i="66"/>
  <c r="I440" i="58"/>
  <c r="I440" i="41" s="1"/>
  <c r="H218" i="66"/>
  <c r="J441" i="41"/>
  <c r="R156" i="66"/>
  <c r="R12" i="66"/>
  <c r="H446" i="41"/>
  <c r="H440" i="41"/>
  <c r="I450" i="41"/>
  <c r="I448" i="41"/>
  <c r="I447" i="41"/>
  <c r="H454" i="41"/>
  <c r="H441" i="41"/>
  <c r="H444" i="41"/>
  <c r="J442" i="41"/>
  <c r="I442" i="41"/>
  <c r="H196" i="41"/>
  <c r="J453" i="41"/>
  <c r="I444" i="41"/>
  <c r="J454" i="41"/>
  <c r="H311" i="41"/>
  <c r="H453" i="41"/>
  <c r="J446" i="41"/>
  <c r="I334" i="41"/>
  <c r="H173" i="41"/>
  <c r="H445" i="41"/>
  <c r="J313" i="41"/>
  <c r="J450" i="41"/>
  <c r="I449" i="41"/>
  <c r="J251" i="41"/>
  <c r="I445" i="41"/>
  <c r="J444" i="41"/>
  <c r="I304" i="41"/>
  <c r="H272" i="41"/>
  <c r="H306" i="58"/>
  <c r="H386" i="58"/>
  <c r="J348" i="58"/>
  <c r="H408" i="58"/>
  <c r="H340" i="58"/>
  <c r="H257" i="58"/>
  <c r="H396" i="58"/>
  <c r="I228" i="58"/>
  <c r="H253" i="58"/>
  <c r="H274" i="58"/>
  <c r="H301" i="58"/>
  <c r="H367" i="58"/>
  <c r="H392" i="58"/>
  <c r="I249" i="58"/>
  <c r="H229" i="58"/>
  <c r="I165" i="58"/>
  <c r="I358" i="58"/>
  <c r="H369" i="58"/>
  <c r="H390" i="58"/>
  <c r="H144" i="58"/>
  <c r="H283" i="58"/>
  <c r="H170" i="58"/>
  <c r="H285" i="58"/>
  <c r="H218" i="58"/>
  <c r="H374" i="58"/>
  <c r="J176" i="58"/>
  <c r="I166" i="58"/>
  <c r="J227" i="58"/>
  <c r="H335" i="58"/>
  <c r="J287" i="41"/>
  <c r="H448" i="41"/>
  <c r="E365" i="38"/>
  <c r="J478" i="41"/>
  <c r="N257" i="66"/>
  <c r="J492" i="58"/>
  <c r="J491" i="58"/>
  <c r="J490" i="58"/>
  <c r="P176" i="66"/>
  <c r="I416" i="41"/>
  <c r="J449" i="41"/>
  <c r="H260" i="58"/>
  <c r="H191" i="58"/>
  <c r="H388" i="58"/>
  <c r="I176" i="58"/>
  <c r="I347" i="58"/>
  <c r="J165" i="58"/>
  <c r="J405" i="58"/>
  <c r="J249" i="58"/>
  <c r="H150" i="58"/>
  <c r="J167" i="58"/>
  <c r="H336" i="58"/>
  <c r="H230" i="58"/>
  <c r="H275" i="58"/>
  <c r="H182" i="58"/>
  <c r="J303" i="58"/>
  <c r="H159" i="58"/>
  <c r="J143" i="58"/>
  <c r="H154" i="58"/>
  <c r="J175" i="58"/>
  <c r="H197" i="58"/>
  <c r="H219" i="58"/>
  <c r="I405" i="58"/>
  <c r="H312" i="58"/>
  <c r="H153" i="58"/>
  <c r="H245" i="58"/>
  <c r="J312" i="58"/>
  <c r="I174" i="58"/>
  <c r="I238" i="58"/>
  <c r="J207" i="58"/>
  <c r="J228" i="58"/>
  <c r="H279" i="58"/>
  <c r="J370" i="58"/>
  <c r="H321" i="58"/>
  <c r="J388" i="58"/>
  <c r="I191" i="58"/>
  <c r="H360" i="58"/>
  <c r="J296" i="58"/>
  <c r="H244" i="58"/>
  <c r="I250" i="58"/>
  <c r="H366" i="58"/>
  <c r="J389" i="58"/>
  <c r="J190" i="58"/>
  <c r="H141" i="58"/>
  <c r="I278" i="58"/>
  <c r="H416" i="58"/>
  <c r="J277" i="58"/>
  <c r="I407" i="58"/>
  <c r="J217" i="58"/>
  <c r="H405" i="58"/>
  <c r="H326" i="58"/>
  <c r="H188" i="58"/>
  <c r="H243" i="58"/>
  <c r="H223" i="58"/>
  <c r="H216" i="58"/>
  <c r="H158" i="58"/>
  <c r="J360" i="58"/>
  <c r="J144" i="58"/>
  <c r="H235" i="58"/>
  <c r="H155" i="58"/>
  <c r="H303" i="58"/>
  <c r="H166" i="58"/>
  <c r="H263" i="58"/>
  <c r="H413" i="58"/>
  <c r="H266" i="58"/>
  <c r="H418" i="58"/>
  <c r="I207" i="58"/>
  <c r="H210" i="58"/>
  <c r="J396" i="58"/>
  <c r="I345" i="58"/>
  <c r="H187" i="58"/>
  <c r="I312" i="58"/>
  <c r="H309" i="58"/>
  <c r="J154" i="58"/>
  <c r="I142" i="58"/>
  <c r="I237" i="58"/>
  <c r="H201" i="58"/>
  <c r="J239" i="58"/>
  <c r="I359" i="58"/>
  <c r="H292" i="58"/>
  <c r="I209" i="58"/>
  <c r="I259" i="58"/>
  <c r="H403" i="58"/>
  <c r="H316" i="58"/>
  <c r="H370" i="58"/>
  <c r="H247" i="58"/>
  <c r="H176" i="58"/>
  <c r="I200" i="58"/>
  <c r="H163" i="58"/>
  <c r="H349" i="58"/>
  <c r="H327" i="58"/>
  <c r="H225" i="58"/>
  <c r="H220" i="58"/>
  <c r="I380" i="58"/>
  <c r="H328" i="58"/>
  <c r="H296" i="58"/>
  <c r="H217" i="58"/>
  <c r="H143" i="58"/>
  <c r="H364" i="58"/>
  <c r="H411" i="58"/>
  <c r="J347" i="58"/>
  <c r="J406" i="58"/>
  <c r="I396" i="58"/>
  <c r="H308" i="58"/>
  <c r="I277" i="41"/>
  <c r="N209" i="66"/>
  <c r="I490" i="58"/>
  <c r="I491" i="58"/>
  <c r="I492" i="58"/>
  <c r="J447" i="41"/>
  <c r="J13" i="41"/>
  <c r="AA176" i="66"/>
  <c r="Z32" i="66"/>
  <c r="H450" i="41"/>
  <c r="H447" i="41"/>
  <c r="J443" i="41"/>
  <c r="N17" i="66"/>
  <c r="H491" i="37"/>
  <c r="H492" i="37"/>
  <c r="H490" i="37"/>
  <c r="H194" i="58"/>
  <c r="H151" i="58"/>
  <c r="H258" i="58"/>
  <c r="I294" i="58"/>
  <c r="H397" i="58"/>
  <c r="H313" i="58"/>
  <c r="H348" i="58"/>
  <c r="H161" i="58"/>
  <c r="H421" i="58"/>
  <c r="H391" i="58"/>
  <c r="H186" i="58"/>
  <c r="H355" i="58"/>
  <c r="H305" i="58"/>
  <c r="H209" i="58"/>
  <c r="H417" i="58"/>
  <c r="I397" i="58"/>
  <c r="H320" i="58"/>
  <c r="H221" i="58"/>
  <c r="H383" i="58"/>
  <c r="J407" i="58"/>
  <c r="H319" i="58"/>
  <c r="H307" i="58"/>
  <c r="I370" i="58"/>
  <c r="I360" i="58"/>
  <c r="H288" i="58"/>
  <c r="H213" i="58"/>
  <c r="H414" i="58"/>
  <c r="H180" i="58"/>
  <c r="H273" i="58"/>
  <c r="J369" i="58"/>
  <c r="I387" i="58"/>
  <c r="I258" i="58"/>
  <c r="I414" i="58"/>
  <c r="H361" i="58"/>
  <c r="H291" i="58"/>
  <c r="I225" i="58"/>
  <c r="J142" i="58"/>
  <c r="H342" i="58"/>
  <c r="J414" i="58"/>
  <c r="H377" i="58"/>
  <c r="H200" i="58"/>
  <c r="H353" i="58"/>
  <c r="J166" i="58"/>
  <c r="I199" i="58"/>
  <c r="J304" i="58"/>
  <c r="H255" i="58"/>
  <c r="H142" i="58"/>
  <c r="H304" i="58"/>
  <c r="H251" i="58"/>
  <c r="J415" i="58"/>
  <c r="J199" i="58"/>
  <c r="H199" i="58"/>
  <c r="H352" i="58"/>
  <c r="H398" i="58"/>
  <c r="H332" i="58"/>
  <c r="H224" i="58"/>
  <c r="J295" i="58"/>
  <c r="I371" i="58"/>
  <c r="H256" i="58"/>
  <c r="H212" i="58"/>
  <c r="H330" i="58"/>
  <c r="H249" i="58"/>
  <c r="I346" i="58"/>
  <c r="J378" i="58"/>
  <c r="I313" i="58"/>
  <c r="J218" i="58"/>
  <c r="H12" i="41"/>
  <c r="E229" i="38"/>
  <c r="E274" i="38"/>
  <c r="O144" i="66"/>
  <c r="H13" i="41"/>
  <c r="I441" i="41"/>
  <c r="I11" i="41"/>
  <c r="E363" i="38"/>
  <c r="J476" i="41"/>
  <c r="Z192" i="66"/>
  <c r="H451" i="41"/>
  <c r="H412" i="58"/>
  <c r="J260" i="58"/>
  <c r="I305" i="58"/>
  <c r="H264" i="58"/>
  <c r="H371" i="58"/>
  <c r="H375" i="58"/>
  <c r="J191" i="58"/>
  <c r="H202" i="58"/>
  <c r="J305" i="58"/>
  <c r="I323" i="58"/>
  <c r="H378" i="58"/>
  <c r="H401" i="58"/>
  <c r="J380" i="58"/>
  <c r="H372" i="58"/>
  <c r="J358" i="58"/>
  <c r="I369" i="58"/>
  <c r="I198" i="58"/>
  <c r="J321" i="58"/>
  <c r="H334" i="58"/>
  <c r="J335" i="58"/>
  <c r="H248" i="58"/>
  <c r="H259" i="58"/>
  <c r="I268" i="58"/>
  <c r="I389" i="58"/>
  <c r="H299" i="58"/>
  <c r="J200" i="58"/>
  <c r="H236" i="58"/>
  <c r="H179" i="58"/>
  <c r="H406" i="58"/>
  <c r="H363" i="58"/>
  <c r="H410" i="58"/>
  <c r="I208" i="58"/>
  <c r="J334" i="58"/>
  <c r="J208" i="58"/>
  <c r="I287" i="58"/>
  <c r="AA166" i="66"/>
  <c r="AA22" i="66"/>
  <c r="Z22" i="66"/>
  <c r="H59" i="66"/>
  <c r="I451" i="37"/>
  <c r="J448" i="41"/>
  <c r="I13" i="41"/>
  <c r="H11" i="41"/>
  <c r="I454" i="41"/>
  <c r="H449" i="41"/>
  <c r="I443" i="41"/>
  <c r="N161" i="66"/>
  <c r="H490" i="58"/>
  <c r="H492" i="58"/>
  <c r="H491" i="58"/>
  <c r="H452" i="41"/>
  <c r="H252" i="58"/>
  <c r="H368" i="58"/>
  <c r="H337" i="58"/>
  <c r="I388" i="58"/>
  <c r="I217" i="58"/>
  <c r="I295" i="58"/>
  <c r="H261" i="58"/>
  <c r="H246" i="58"/>
  <c r="J250" i="58"/>
  <c r="J286" i="58"/>
  <c r="H395" i="58"/>
  <c r="H409" i="58"/>
  <c r="H333" i="58"/>
  <c r="J359" i="58"/>
  <c r="H149" i="58"/>
  <c r="H325" i="58"/>
  <c r="J276" i="58"/>
  <c r="H381" i="58"/>
  <c r="I276" i="58"/>
  <c r="J174" i="58"/>
  <c r="H318" i="58"/>
  <c r="J225" i="58"/>
  <c r="J153" i="58"/>
  <c r="J387" i="58"/>
  <c r="I322" i="58"/>
  <c r="H384" i="58"/>
  <c r="H373" i="58"/>
  <c r="H271" i="58"/>
  <c r="H178" i="58"/>
  <c r="H387" i="58"/>
  <c r="H168" i="58"/>
  <c r="H277" i="58"/>
  <c r="H250" i="58"/>
  <c r="J278" i="58"/>
  <c r="J398" i="58"/>
  <c r="H346" i="58"/>
  <c r="H240" i="58"/>
  <c r="H290" i="58"/>
  <c r="H347" i="58"/>
  <c r="H297" i="58"/>
  <c r="H198" i="58"/>
  <c r="H167" i="58"/>
  <c r="I314" i="58"/>
  <c r="H420" i="58"/>
  <c r="H165" i="58"/>
  <c r="H317" i="58"/>
  <c r="I155" i="58"/>
  <c r="H380" i="58"/>
  <c r="H238" i="58"/>
  <c r="H400" i="58"/>
  <c r="H189" i="58"/>
  <c r="H351" i="58"/>
  <c r="H365" i="58"/>
  <c r="J345" i="58"/>
  <c r="I333" i="58"/>
  <c r="J285" i="58"/>
  <c r="I285" i="58"/>
  <c r="H233" i="58"/>
  <c r="J198" i="58"/>
  <c r="I226" i="58"/>
  <c r="J238" i="58"/>
  <c r="J294" i="58"/>
  <c r="H192" i="58"/>
  <c r="J141" i="58"/>
  <c r="J333" i="58"/>
  <c r="H302" i="58"/>
  <c r="H265" i="58"/>
  <c r="H203" i="58"/>
  <c r="H385" i="58"/>
  <c r="H278" i="58"/>
  <c r="H226" i="58"/>
  <c r="H415" i="58"/>
  <c r="J336" i="58"/>
  <c r="H215" i="58"/>
  <c r="J397" i="58"/>
  <c r="H295" i="58"/>
  <c r="H241" i="58"/>
  <c r="I175" i="58"/>
  <c r="I218" i="58"/>
  <c r="H190" i="58"/>
  <c r="H343" i="58"/>
  <c r="J323" i="58"/>
  <c r="I260" i="58"/>
  <c r="H162" i="58"/>
  <c r="H358" i="58"/>
  <c r="H422" i="58"/>
  <c r="I286" i="58"/>
  <c r="H362" i="58"/>
  <c r="I324" i="58"/>
  <c r="H169" i="58"/>
  <c r="I406" i="58"/>
  <c r="J240" i="58"/>
  <c r="O128" i="66"/>
  <c r="J8" i="41"/>
  <c r="C27" i="63"/>
  <c r="J11" i="41"/>
  <c r="E364" i="38"/>
  <c r="J477" i="41"/>
  <c r="J452" i="41"/>
  <c r="H426" i="41"/>
  <c r="G31" i="66"/>
  <c r="G31" i="74" s="1"/>
  <c r="I251" i="41"/>
  <c r="H404" i="58"/>
  <c r="H354" i="58"/>
  <c r="H276" i="58"/>
  <c r="I415" i="58"/>
  <c r="H234" i="58"/>
  <c r="H242" i="58"/>
  <c r="H402" i="58"/>
  <c r="H359" i="58"/>
  <c r="H356" i="58"/>
  <c r="H419" i="58"/>
  <c r="J155" i="58"/>
  <c r="I348" i="58"/>
  <c r="H157" i="58"/>
  <c r="H357" i="58"/>
  <c r="H393" i="58"/>
  <c r="H300" i="58"/>
  <c r="I398" i="58"/>
  <c r="H407" i="58"/>
  <c r="H344" i="58"/>
  <c r="I269" i="58"/>
  <c r="H389" i="58"/>
  <c r="H239" i="58"/>
  <c r="H379" i="58"/>
  <c r="H284" i="58"/>
  <c r="H228" i="58"/>
  <c r="H145" i="58"/>
  <c r="J209" i="58"/>
  <c r="I227" i="58"/>
  <c r="H206" i="58"/>
  <c r="H211" i="58"/>
  <c r="J324" i="58"/>
  <c r="J346" i="58"/>
  <c r="H185" i="58"/>
  <c r="H203" i="66"/>
  <c r="I451" i="58"/>
  <c r="I12" i="41"/>
  <c r="C57" i="63"/>
  <c r="I453" i="41"/>
  <c r="N113" i="66"/>
  <c r="N113" i="74" s="1"/>
  <c r="J490" i="37"/>
  <c r="J491" i="37"/>
  <c r="J492" i="37"/>
  <c r="J445" i="41"/>
  <c r="I426" i="58"/>
  <c r="H442" i="41"/>
  <c r="H339" i="58"/>
  <c r="H174" i="58"/>
  <c r="I167" i="58"/>
  <c r="H214" i="58"/>
  <c r="J189" i="58"/>
  <c r="I267" i="58"/>
  <c r="H280" i="58"/>
  <c r="H193" i="58"/>
  <c r="J371" i="58"/>
  <c r="H262" i="58"/>
  <c r="J267" i="58"/>
  <c r="H350" i="58"/>
  <c r="H227" i="58"/>
  <c r="H231" i="58"/>
  <c r="J379" i="58"/>
  <c r="H267" i="58"/>
  <c r="H323" i="58"/>
  <c r="H289" i="58"/>
  <c r="H146" i="58"/>
  <c r="I144" i="58"/>
  <c r="H294" i="58"/>
  <c r="I321" i="58"/>
  <c r="J357" i="58"/>
  <c r="J258" i="58"/>
  <c r="I216" i="58"/>
  <c r="J226" i="58"/>
  <c r="H177" i="58"/>
  <c r="J322" i="58"/>
  <c r="I154" i="58"/>
  <c r="I153" i="58"/>
  <c r="I335" i="58"/>
  <c r="H329" i="58"/>
  <c r="H254" i="58"/>
  <c r="I296" i="58"/>
  <c r="J259" i="58"/>
  <c r="H195" i="58"/>
  <c r="H181" i="58"/>
  <c r="J416" i="58"/>
  <c r="H338" i="58"/>
  <c r="H341" i="58"/>
  <c r="I379" i="58"/>
  <c r="H331" i="58"/>
  <c r="H204" i="58"/>
  <c r="H269" i="58"/>
  <c r="I143" i="58"/>
  <c r="H322" i="58"/>
  <c r="H232" i="58"/>
  <c r="H394" i="58"/>
  <c r="I336" i="58"/>
  <c r="H293" i="58"/>
  <c r="H298" i="58"/>
  <c r="H282" i="58"/>
  <c r="I303" i="58"/>
  <c r="J216" i="58"/>
  <c r="I189" i="58"/>
  <c r="I357" i="58"/>
  <c r="H345" i="58"/>
  <c r="H399" i="58"/>
  <c r="J237" i="58"/>
  <c r="I141" i="58"/>
  <c r="I239" i="58"/>
  <c r="H147" i="58"/>
  <c r="H171" i="58"/>
  <c r="H324" i="58"/>
  <c r="H310" i="58"/>
  <c r="H237" i="58"/>
  <c r="H376" i="58"/>
  <c r="H268" i="58"/>
  <c r="J269" i="58"/>
  <c r="I190" i="58"/>
  <c r="H270" i="58"/>
  <c r="J268" i="58"/>
  <c r="J314" i="58"/>
  <c r="H207" i="58"/>
  <c r="H382" i="58"/>
  <c r="H286" i="58"/>
  <c r="H172" i="58"/>
  <c r="H287" i="58"/>
  <c r="H222" i="58"/>
  <c r="H175" i="58"/>
  <c r="H281" i="58"/>
  <c r="H314" i="58"/>
  <c r="H205" i="58"/>
  <c r="H208" i="58"/>
  <c r="I240" i="58"/>
  <c r="H315" i="58"/>
  <c r="H443" i="41"/>
  <c r="J12" i="41"/>
  <c r="N65" i="66"/>
  <c r="I490" i="37"/>
  <c r="I491" i="37"/>
  <c r="I492" i="37"/>
  <c r="E362" i="38"/>
  <c r="J475" i="41"/>
  <c r="I378" i="41"/>
  <c r="AA140" i="66" l="1"/>
  <c r="AB286" i="66"/>
  <c r="AC286" i="66" s="1"/>
  <c r="AB60" i="66"/>
  <c r="AC60" i="66" s="1"/>
  <c r="P10" i="66"/>
  <c r="R10" i="66" s="1"/>
  <c r="Z10" i="66"/>
  <c r="Z154" i="66"/>
  <c r="AA44" i="66"/>
  <c r="AA10" i="66"/>
  <c r="Z284" i="66"/>
  <c r="AA32" i="66"/>
  <c r="AB94" i="66"/>
  <c r="AC94" i="66" s="1"/>
  <c r="N17" i="74"/>
  <c r="AA118" i="66"/>
  <c r="AA284" i="66"/>
  <c r="N66" i="74"/>
  <c r="AD32" i="74"/>
  <c r="B12" i="75" s="1"/>
  <c r="E12" i="75" s="1"/>
  <c r="B27" i="75"/>
  <c r="E27" i="75" s="1"/>
  <c r="AA188" i="66"/>
  <c r="AD22" i="74"/>
  <c r="Z188" i="66"/>
  <c r="H59" i="74"/>
  <c r="H74" i="74"/>
  <c r="Z44" i="74"/>
  <c r="P46" i="74"/>
  <c r="AA46" i="74"/>
  <c r="Z46" i="74"/>
  <c r="O118" i="74"/>
  <c r="AC118" i="74"/>
  <c r="O128" i="74"/>
  <c r="AC128" i="74"/>
  <c r="N26" i="74"/>
  <c r="O28" i="74"/>
  <c r="AC28" i="74"/>
  <c r="AD28" i="74" s="1"/>
  <c r="P12" i="74"/>
  <c r="AA12" i="74"/>
  <c r="Z12" i="74"/>
  <c r="AC29" i="74"/>
  <c r="AD29" i="74" s="1"/>
  <c r="O29" i="74"/>
  <c r="AA29" i="74" s="1"/>
  <c r="N65" i="74"/>
  <c r="AC31" i="74"/>
  <c r="O31" i="74"/>
  <c r="AB250" i="66"/>
  <c r="AC250" i="66" s="1"/>
  <c r="O10" i="74"/>
  <c r="AC10" i="74"/>
  <c r="AD10" i="74" s="1"/>
  <c r="G203" i="66"/>
  <c r="AA125" i="74"/>
  <c r="Z125" i="74"/>
  <c r="G223" i="66"/>
  <c r="O223" i="66" s="1"/>
  <c r="G210" i="66"/>
  <c r="AB210" i="66" s="1"/>
  <c r="AC210" i="66" s="1"/>
  <c r="L108" i="66"/>
  <c r="L108" i="74" s="1"/>
  <c r="L142" i="66"/>
  <c r="L142" i="74" s="1"/>
  <c r="O58" i="74"/>
  <c r="P58" i="74" s="1"/>
  <c r="AC58" i="74"/>
  <c r="AD58" i="74" s="1"/>
  <c r="G155" i="66"/>
  <c r="AB155" i="66" s="1"/>
  <c r="AC155" i="66" s="1"/>
  <c r="G258" i="66"/>
  <c r="O258" i="66" s="1"/>
  <c r="AC94" i="74"/>
  <c r="AD94" i="74" s="1"/>
  <c r="O94" i="74"/>
  <c r="P94" i="74" s="1"/>
  <c r="G162" i="66"/>
  <c r="O162" i="66" s="1"/>
  <c r="G251" i="66"/>
  <c r="Z144" i="74"/>
  <c r="AA144" i="74"/>
  <c r="L124" i="66"/>
  <c r="L124" i="74" s="1"/>
  <c r="Z29" i="74"/>
  <c r="O76" i="74"/>
  <c r="P76" i="74" s="1"/>
  <c r="AC76" i="74"/>
  <c r="AD76" i="74" s="1"/>
  <c r="L106" i="66"/>
  <c r="L106" i="74" s="1"/>
  <c r="O60" i="74"/>
  <c r="P60" i="74" s="1"/>
  <c r="AC60" i="74"/>
  <c r="AD60" i="74" s="1"/>
  <c r="Z48" i="74"/>
  <c r="AA48" i="74"/>
  <c r="R32" i="74"/>
  <c r="V32" i="74"/>
  <c r="Z44" i="66"/>
  <c r="Z118" i="66"/>
  <c r="AB31" i="66"/>
  <c r="AC31" i="66" s="1"/>
  <c r="H6" i="6"/>
  <c r="Z262" i="66"/>
  <c r="AB258" i="66"/>
  <c r="AC258" i="66" s="1"/>
  <c r="Z269" i="66"/>
  <c r="AA262" i="66"/>
  <c r="Z176" i="66"/>
  <c r="Z166" i="66"/>
  <c r="AA125" i="66"/>
  <c r="AA269" i="66"/>
  <c r="Z125" i="66"/>
  <c r="AA48" i="66"/>
  <c r="AA29" i="66"/>
  <c r="O155" i="66"/>
  <c r="Z173" i="66"/>
  <c r="Z48" i="66"/>
  <c r="AA173" i="66"/>
  <c r="P192" i="66"/>
  <c r="R192" i="66" s="1"/>
  <c r="H7" i="6"/>
  <c r="AA192" i="66"/>
  <c r="O31" i="66"/>
  <c r="AA31" i="66" s="1"/>
  <c r="P48" i="66"/>
  <c r="R48" i="66" s="1"/>
  <c r="O142" i="66"/>
  <c r="AA142" i="66" s="1"/>
  <c r="P94" i="66"/>
  <c r="R94" i="66" s="1"/>
  <c r="S94" i="66" s="1"/>
  <c r="U94" i="66" s="1"/>
  <c r="H425" i="37"/>
  <c r="C9" i="63" s="1"/>
  <c r="P76" i="66"/>
  <c r="R76" i="66" s="1"/>
  <c r="S76" i="66" s="1"/>
  <c r="U76" i="66" s="1"/>
  <c r="P58" i="66"/>
  <c r="R58" i="66" s="1"/>
  <c r="S58" i="66" s="1"/>
  <c r="U58" i="66" s="1"/>
  <c r="Z58" i="66"/>
  <c r="AA58" i="66"/>
  <c r="P60" i="66"/>
  <c r="R60" i="66" s="1"/>
  <c r="S60" i="66" s="1"/>
  <c r="U60" i="66" s="1"/>
  <c r="Z204" i="66"/>
  <c r="Z202" i="66"/>
  <c r="AA202" i="66"/>
  <c r="AA220" i="66"/>
  <c r="P220" i="66"/>
  <c r="R220" i="66" s="1"/>
  <c r="S220" i="66" s="1"/>
  <c r="U220" i="66" s="1"/>
  <c r="AA76" i="66"/>
  <c r="Z76" i="66"/>
  <c r="Z60" i="66"/>
  <c r="AA60" i="66"/>
  <c r="AA204" i="66"/>
  <c r="AA94" i="66"/>
  <c r="Z94" i="66"/>
  <c r="AA238" i="66"/>
  <c r="P238" i="66"/>
  <c r="P272" i="66"/>
  <c r="J6" i="6"/>
  <c r="P288" i="66"/>
  <c r="R288" i="66" s="1"/>
  <c r="S288" i="66" s="1"/>
  <c r="U288" i="66" s="1"/>
  <c r="J7" i="6"/>
  <c r="N217" i="66"/>
  <c r="N73" i="66"/>
  <c r="N88" i="66"/>
  <c r="N232" i="66"/>
  <c r="N92" i="66"/>
  <c r="N236" i="66"/>
  <c r="N197" i="66"/>
  <c r="N53" i="66"/>
  <c r="N80" i="66"/>
  <c r="N224" i="66"/>
  <c r="N214" i="66"/>
  <c r="N70" i="66"/>
  <c r="N218" i="66"/>
  <c r="N74" i="66"/>
  <c r="N203" i="66"/>
  <c r="O203" i="66" s="1"/>
  <c r="N59" i="66"/>
  <c r="N240" i="66"/>
  <c r="N96" i="66"/>
  <c r="N78" i="66"/>
  <c r="N222" i="66"/>
  <c r="N77" i="66"/>
  <c r="N77" i="74" s="1"/>
  <c r="N221" i="66"/>
  <c r="N234" i="66"/>
  <c r="N90" i="66"/>
  <c r="H263" i="66"/>
  <c r="H266" i="66"/>
  <c r="J440" i="58"/>
  <c r="H119" i="66"/>
  <c r="J440" i="37"/>
  <c r="H122" i="66"/>
  <c r="H179" i="41"/>
  <c r="H299" i="41"/>
  <c r="J335" i="41"/>
  <c r="I198" i="41"/>
  <c r="J260" i="41"/>
  <c r="J348" i="41"/>
  <c r="H388" i="41"/>
  <c r="J389" i="41"/>
  <c r="H244" i="41"/>
  <c r="J312" i="41"/>
  <c r="H364" i="41"/>
  <c r="H328" i="41"/>
  <c r="H327" i="41"/>
  <c r="H370" i="41"/>
  <c r="H292" i="41"/>
  <c r="H263" i="41"/>
  <c r="H155" i="41"/>
  <c r="H188" i="41"/>
  <c r="J228" i="41"/>
  <c r="I238" i="41"/>
  <c r="I174" i="41"/>
  <c r="H153" i="41"/>
  <c r="I405" i="41"/>
  <c r="J175" i="41"/>
  <c r="H275" i="41"/>
  <c r="H150" i="41"/>
  <c r="J405" i="41"/>
  <c r="H374" i="41"/>
  <c r="I406" i="41"/>
  <c r="I286" i="41"/>
  <c r="H343" i="41"/>
  <c r="H215" i="41"/>
  <c r="H302" i="41"/>
  <c r="H167" i="41"/>
  <c r="J398" i="41"/>
  <c r="I322" i="41"/>
  <c r="I276" i="41"/>
  <c r="H333" i="41"/>
  <c r="H204" i="41"/>
  <c r="I379" i="41"/>
  <c r="H329" i="41"/>
  <c r="I154" i="41"/>
  <c r="I216" i="41"/>
  <c r="H323" i="41"/>
  <c r="H358" i="41"/>
  <c r="I218" i="41"/>
  <c r="H415" i="41"/>
  <c r="H265" i="41"/>
  <c r="J238" i="41"/>
  <c r="H351" i="41"/>
  <c r="I314" i="41"/>
  <c r="H240" i="41"/>
  <c r="H168" i="41"/>
  <c r="H178" i="41"/>
  <c r="H384" i="41"/>
  <c r="J153" i="41"/>
  <c r="J276" i="41"/>
  <c r="J359" i="41"/>
  <c r="J250" i="41"/>
  <c r="H143" i="41"/>
  <c r="I259" i="41"/>
  <c r="H210" i="41"/>
  <c r="H235" i="41"/>
  <c r="H326" i="41"/>
  <c r="J218" i="41"/>
  <c r="I346" i="41"/>
  <c r="I371" i="41"/>
  <c r="H352" i="41"/>
  <c r="H361" i="41"/>
  <c r="H383" i="41"/>
  <c r="H258" i="41"/>
  <c r="J406" i="41"/>
  <c r="H296" i="41"/>
  <c r="I200" i="41"/>
  <c r="I209" i="41"/>
  <c r="J239" i="41"/>
  <c r="I237" i="41"/>
  <c r="J360" i="41"/>
  <c r="J217" i="41"/>
  <c r="I407" i="41"/>
  <c r="H416" i="41"/>
  <c r="H366" i="41"/>
  <c r="H245" i="41"/>
  <c r="J143" i="41"/>
  <c r="J200" i="41"/>
  <c r="J380" i="41"/>
  <c r="I323" i="41"/>
  <c r="H360" i="41"/>
  <c r="J370" i="41"/>
  <c r="H234" i="41"/>
  <c r="H276" i="41"/>
  <c r="H404" i="41"/>
  <c r="H393" i="41"/>
  <c r="J155" i="41"/>
  <c r="H362" i="41"/>
  <c r="J397" i="41"/>
  <c r="I333" i="41"/>
  <c r="H365" i="41"/>
  <c r="H347" i="41"/>
  <c r="H325" i="41"/>
  <c r="H409" i="41"/>
  <c r="H246" i="41"/>
  <c r="H262" i="41"/>
  <c r="H339" i="41"/>
  <c r="I227" i="41"/>
  <c r="J346" i="41"/>
  <c r="J209" i="41"/>
  <c r="H344" i="41"/>
  <c r="H357" i="41"/>
  <c r="J378" i="41"/>
  <c r="H224" i="41"/>
  <c r="H377" i="41"/>
  <c r="H305" i="41"/>
  <c r="H348" i="41"/>
  <c r="H397" i="41"/>
  <c r="H151" i="41"/>
  <c r="H286" i="41"/>
  <c r="J314" i="41"/>
  <c r="H376" i="41"/>
  <c r="H147" i="41"/>
  <c r="I336" i="41"/>
  <c r="H232" i="41"/>
  <c r="I143" i="41"/>
  <c r="H331" i="41"/>
  <c r="H341" i="41"/>
  <c r="I335" i="41"/>
  <c r="J258" i="41"/>
  <c r="H146" i="41"/>
  <c r="I167" i="41"/>
  <c r="J324" i="41"/>
  <c r="H239" i="41"/>
  <c r="H356" i="41"/>
  <c r="H242" i="41"/>
  <c r="H190" i="41"/>
  <c r="H241" i="41"/>
  <c r="J336" i="41"/>
  <c r="H381" i="41"/>
  <c r="J286" i="41"/>
  <c r="J347" i="41"/>
  <c r="H217" i="41"/>
  <c r="H220" i="41"/>
  <c r="H163" i="41"/>
  <c r="I228" i="41"/>
  <c r="H408" i="41"/>
  <c r="H208" i="41"/>
  <c r="H281" i="41"/>
  <c r="J268" i="41"/>
  <c r="H324" i="41"/>
  <c r="I239" i="41"/>
  <c r="I357" i="41"/>
  <c r="H338" i="41"/>
  <c r="J416" i="41"/>
  <c r="J259" i="41"/>
  <c r="H289" i="41"/>
  <c r="J379" i="41"/>
  <c r="H389" i="41"/>
  <c r="I398" i="41"/>
  <c r="H359" i="41"/>
  <c r="H402" i="41"/>
  <c r="H261" i="41"/>
  <c r="H368" i="41"/>
  <c r="I208" i="41"/>
  <c r="H264" i="41"/>
  <c r="I166" i="41"/>
  <c r="H283" i="41"/>
  <c r="H172" i="41"/>
  <c r="J269" i="41"/>
  <c r="H171" i="41"/>
  <c r="H298" i="41"/>
  <c r="H254" i="41"/>
  <c r="H231" i="41"/>
  <c r="H248" i="41"/>
  <c r="H334" i="41"/>
  <c r="H202" i="41"/>
  <c r="H375" i="41"/>
  <c r="H212" i="41"/>
  <c r="H199" i="41"/>
  <c r="H200" i="41"/>
  <c r="H342" i="41"/>
  <c r="H291" i="41"/>
  <c r="H213" i="41"/>
  <c r="H335" i="41"/>
  <c r="H229" i="41"/>
  <c r="H256" i="41"/>
  <c r="I199" i="41"/>
  <c r="J414" i="41"/>
  <c r="H288" i="41"/>
  <c r="J407" i="41"/>
  <c r="H320" i="41"/>
  <c r="H209" i="41"/>
  <c r="H336" i="41"/>
  <c r="H396" i="41"/>
  <c r="H175" i="41"/>
  <c r="H310" i="41"/>
  <c r="J371" i="41"/>
  <c r="J227" i="41"/>
  <c r="I358" i="41"/>
  <c r="J267" i="41"/>
  <c r="I189" i="41"/>
  <c r="Z175" i="66"/>
  <c r="I324" i="41"/>
  <c r="J323" i="41"/>
  <c r="H295" i="41"/>
  <c r="H192" i="41"/>
  <c r="J345" i="41"/>
  <c r="H380" i="41"/>
  <c r="D45" i="57"/>
  <c r="G163" i="66"/>
  <c r="H297" i="41"/>
  <c r="H318" i="41"/>
  <c r="H107" i="66"/>
  <c r="J451" i="37"/>
  <c r="D8" i="57"/>
  <c r="M3" i="37"/>
  <c r="H249" i="41"/>
  <c r="G42" i="66"/>
  <c r="I116" i="66"/>
  <c r="E2" i="53"/>
  <c r="H142" i="41"/>
  <c r="I20" i="66"/>
  <c r="G20" i="66"/>
  <c r="I68" i="66"/>
  <c r="J142" i="41"/>
  <c r="H491" i="41"/>
  <c r="G11" i="66"/>
  <c r="G11" i="74" s="1"/>
  <c r="O11" i="74" s="1"/>
  <c r="G170" i="66"/>
  <c r="D41" i="57"/>
  <c r="H493" i="37"/>
  <c r="E392" i="38"/>
  <c r="D4" i="57"/>
  <c r="H321" i="41"/>
  <c r="G39" i="66"/>
  <c r="H494" i="37"/>
  <c r="H182" i="41"/>
  <c r="J165" i="41"/>
  <c r="H367" i="41"/>
  <c r="H257" i="41"/>
  <c r="H386" i="41"/>
  <c r="I141" i="41"/>
  <c r="D51" i="57"/>
  <c r="G158" i="66"/>
  <c r="I321" i="41"/>
  <c r="G159" i="66"/>
  <c r="D49" i="57"/>
  <c r="Z128" i="66"/>
  <c r="Z272" i="66"/>
  <c r="AA272" i="66"/>
  <c r="AA128" i="66"/>
  <c r="P128" i="66"/>
  <c r="I285" i="41"/>
  <c r="G19" i="66"/>
  <c r="G19" i="74" s="1"/>
  <c r="AC19" i="74" s="1"/>
  <c r="H165" i="41"/>
  <c r="D6" i="57"/>
  <c r="J334" i="41"/>
  <c r="H363" i="41"/>
  <c r="J358" i="41"/>
  <c r="J305" i="41"/>
  <c r="Z144" i="66"/>
  <c r="AA288" i="66"/>
  <c r="Z288" i="66"/>
  <c r="AA144" i="66"/>
  <c r="P144" i="66"/>
  <c r="G186" i="66"/>
  <c r="D47" i="57"/>
  <c r="M3" i="58"/>
  <c r="H304" i="41"/>
  <c r="I260" i="66"/>
  <c r="I164" i="66"/>
  <c r="E8" i="53"/>
  <c r="I212" i="66"/>
  <c r="G164" i="66"/>
  <c r="H414" i="41"/>
  <c r="H307" i="41"/>
  <c r="H186" i="41"/>
  <c r="J176" i="41"/>
  <c r="G34" i="66"/>
  <c r="H285" i="41"/>
  <c r="D11" i="57"/>
  <c r="H144" i="41"/>
  <c r="H369" i="41"/>
  <c r="D13" i="57"/>
  <c r="G24" i="66"/>
  <c r="H301" i="41"/>
  <c r="J189" i="41"/>
  <c r="J156" i="58"/>
  <c r="I156" i="58"/>
  <c r="H160" i="58"/>
  <c r="H156" i="58"/>
  <c r="C34" i="63" s="1"/>
  <c r="H164" i="58"/>
  <c r="G57" i="66"/>
  <c r="D44" i="39"/>
  <c r="E110" i="38" s="1"/>
  <c r="I492" i="41"/>
  <c r="D17" i="39" s="1"/>
  <c r="H314" i="41"/>
  <c r="H222" i="41"/>
  <c r="J237" i="41"/>
  <c r="G14" i="66"/>
  <c r="G14" i="74" s="1"/>
  <c r="O14" i="74" s="1"/>
  <c r="D12" i="57"/>
  <c r="H345" i="41"/>
  <c r="J322" i="41"/>
  <c r="H177" i="41"/>
  <c r="D10" i="57"/>
  <c r="G15" i="66"/>
  <c r="H267" i="41"/>
  <c r="H206" i="41"/>
  <c r="H419" i="41"/>
  <c r="I415" i="41"/>
  <c r="J240" i="41"/>
  <c r="H162" i="41"/>
  <c r="I175" i="41"/>
  <c r="H226" i="41"/>
  <c r="H385" i="41"/>
  <c r="J333" i="41"/>
  <c r="I226" i="41"/>
  <c r="H189" i="41"/>
  <c r="D7" i="57"/>
  <c r="G25" i="66"/>
  <c r="H420" i="41"/>
  <c r="H346" i="41"/>
  <c r="J278" i="41"/>
  <c r="H271" i="41"/>
  <c r="J208" i="41"/>
  <c r="I389" i="41"/>
  <c r="H401" i="41"/>
  <c r="H378" i="41"/>
  <c r="H412" i="41"/>
  <c r="H398" i="41"/>
  <c r="J199" i="41"/>
  <c r="H255" i="41"/>
  <c r="J166" i="41"/>
  <c r="I258" i="41"/>
  <c r="H273" i="41"/>
  <c r="I360" i="41"/>
  <c r="H319" i="41"/>
  <c r="H391" i="41"/>
  <c r="I396" i="41"/>
  <c r="I380" i="41"/>
  <c r="H349" i="41"/>
  <c r="H176" i="41"/>
  <c r="I142" i="41"/>
  <c r="H309" i="41"/>
  <c r="H187" i="41"/>
  <c r="J396" i="41"/>
  <c r="H418" i="41"/>
  <c r="H158" i="41"/>
  <c r="H223" i="41"/>
  <c r="I278" i="41"/>
  <c r="J190" i="41"/>
  <c r="I250" i="41"/>
  <c r="H312" i="41"/>
  <c r="H219" i="41"/>
  <c r="J167" i="41"/>
  <c r="I347" i="41"/>
  <c r="H191" i="41"/>
  <c r="G249" i="66"/>
  <c r="M44" i="39"/>
  <c r="E178" i="38" s="1"/>
  <c r="G178" i="66"/>
  <c r="D50" i="57"/>
  <c r="D52" i="57"/>
  <c r="G168" i="66"/>
  <c r="I249" i="41"/>
  <c r="H253" i="41"/>
  <c r="H340" i="41"/>
  <c r="H306" i="41"/>
  <c r="G66" i="66"/>
  <c r="G66" i="74" s="1"/>
  <c r="O66" i="74" s="1"/>
  <c r="I490" i="41"/>
  <c r="H287" i="41"/>
  <c r="H382" i="41"/>
  <c r="I190" i="41"/>
  <c r="H237" i="41"/>
  <c r="H399" i="41"/>
  <c r="H394" i="41"/>
  <c r="H322" i="41"/>
  <c r="H269" i="41"/>
  <c r="I296" i="41"/>
  <c r="J226" i="41"/>
  <c r="H350" i="41"/>
  <c r="H193" i="41"/>
  <c r="H174" i="41"/>
  <c r="J426" i="58"/>
  <c r="G107" i="66"/>
  <c r="J491" i="41"/>
  <c r="H185" i="41"/>
  <c r="H145" i="41"/>
  <c r="H407" i="41"/>
  <c r="H157" i="41"/>
  <c r="I348" i="41"/>
  <c r="H354" i="41"/>
  <c r="H278" i="41"/>
  <c r="J294" i="41"/>
  <c r="J198" i="41"/>
  <c r="J285" i="41"/>
  <c r="H400" i="41"/>
  <c r="I155" i="41"/>
  <c r="H277" i="41"/>
  <c r="H373" i="41"/>
  <c r="J174" i="41"/>
  <c r="H395" i="41"/>
  <c r="I295" i="41"/>
  <c r="H252" i="41"/>
  <c r="G153" i="66"/>
  <c r="K44" i="39"/>
  <c r="E144" i="38" s="1"/>
  <c r="I287" i="41"/>
  <c r="H410" i="41"/>
  <c r="H236" i="41"/>
  <c r="I268" i="41"/>
  <c r="H372" i="41"/>
  <c r="H330" i="41"/>
  <c r="H332" i="41"/>
  <c r="J415" i="41"/>
  <c r="J304" i="41"/>
  <c r="H353" i="41"/>
  <c r="I225" i="41"/>
  <c r="I370" i="41"/>
  <c r="H355" i="41"/>
  <c r="H421" i="41"/>
  <c r="H194" i="41"/>
  <c r="H247" i="41"/>
  <c r="H316" i="41"/>
  <c r="I359" i="41"/>
  <c r="H201" i="41"/>
  <c r="J154" i="41"/>
  <c r="I312" i="41"/>
  <c r="I345" i="41"/>
  <c r="I207" i="41"/>
  <c r="H266" i="41"/>
  <c r="H166" i="41"/>
  <c r="J144" i="41"/>
  <c r="H216" i="41"/>
  <c r="H405" i="41"/>
  <c r="I191" i="41"/>
  <c r="H154" i="41"/>
  <c r="H159" i="41"/>
  <c r="J303" i="41"/>
  <c r="I176" i="41"/>
  <c r="H260" i="41"/>
  <c r="H170" i="41"/>
  <c r="H390" i="41"/>
  <c r="H392" i="41"/>
  <c r="I240" i="41"/>
  <c r="H207" i="41"/>
  <c r="G17" i="66"/>
  <c r="G17" i="74" s="1"/>
  <c r="D5" i="57"/>
  <c r="H280" i="41"/>
  <c r="J490" i="41"/>
  <c r="G114" i="66"/>
  <c r="G114" i="74" s="1"/>
  <c r="O114" i="74" s="1"/>
  <c r="I369" i="41"/>
  <c r="I387" i="41"/>
  <c r="H308" i="41"/>
  <c r="H411" i="41"/>
  <c r="G149" i="66"/>
  <c r="D42" i="57"/>
  <c r="H403" i="41"/>
  <c r="H413" i="41"/>
  <c r="D48" i="57"/>
  <c r="G174" i="66"/>
  <c r="H243" i="41"/>
  <c r="J388" i="41"/>
  <c r="H279" i="41"/>
  <c r="H197" i="41"/>
  <c r="I491" i="41"/>
  <c r="G59" i="66"/>
  <c r="G59" i="74" s="1"/>
  <c r="I426" i="41"/>
  <c r="G79" i="66"/>
  <c r="G169" i="66"/>
  <c r="D46" i="57"/>
  <c r="J207" i="41"/>
  <c r="G161" i="66"/>
  <c r="D44" i="57"/>
  <c r="J216" i="41"/>
  <c r="H181" i="41"/>
  <c r="H294" i="41"/>
  <c r="H228" i="41"/>
  <c r="H284" i="41"/>
  <c r="G35" i="66"/>
  <c r="D14" i="57"/>
  <c r="E4" i="53"/>
  <c r="F4" i="53" s="1"/>
  <c r="H10" i="53" s="1"/>
  <c r="H387" i="41"/>
  <c r="J225" i="41"/>
  <c r="I217" i="41"/>
  <c r="H337" i="41"/>
  <c r="J321" i="41"/>
  <c r="G18" i="66"/>
  <c r="G18" i="74" s="1"/>
  <c r="AC18" i="74" s="1"/>
  <c r="AD18" i="74" s="1"/>
  <c r="H490" i="41"/>
  <c r="D3" i="57"/>
  <c r="G5" i="66"/>
  <c r="G5" i="74" s="1"/>
  <c r="AC5" i="74" s="1"/>
  <c r="H225" i="41"/>
  <c r="D9" i="57"/>
  <c r="H303" i="41"/>
  <c r="G30" i="66"/>
  <c r="G30" i="74" s="1"/>
  <c r="J249" i="41"/>
  <c r="R176" i="66"/>
  <c r="H218" i="41"/>
  <c r="I165" i="41"/>
  <c r="H274" i="41"/>
  <c r="H148" i="58"/>
  <c r="G105" i="66"/>
  <c r="G105" i="74" s="1"/>
  <c r="E44" i="39"/>
  <c r="E127" i="38" s="1"/>
  <c r="J492" i="41"/>
  <c r="E17" i="39" s="1"/>
  <c r="H152" i="58"/>
  <c r="I153" i="41"/>
  <c r="J357" i="41"/>
  <c r="H315" i="41"/>
  <c r="H205" i="41"/>
  <c r="H270" i="41"/>
  <c r="H268" i="41"/>
  <c r="I303" i="41"/>
  <c r="H282" i="41"/>
  <c r="H293" i="41"/>
  <c r="H195" i="41"/>
  <c r="I144" i="41"/>
  <c r="H227" i="41"/>
  <c r="I267" i="41"/>
  <c r="H214" i="41"/>
  <c r="P286" i="66"/>
  <c r="H211" i="41"/>
  <c r="H379" i="41"/>
  <c r="I269" i="41"/>
  <c r="H300" i="41"/>
  <c r="H169" i="41"/>
  <c r="H422" i="41"/>
  <c r="I260" i="41"/>
  <c r="H203" i="41"/>
  <c r="J141" i="41"/>
  <c r="H233" i="41"/>
  <c r="H238" i="41"/>
  <c r="H317" i="41"/>
  <c r="H198" i="41"/>
  <c r="H290" i="41"/>
  <c r="H250" i="41"/>
  <c r="D53" i="57"/>
  <c r="G179" i="66"/>
  <c r="E10" i="53"/>
  <c r="F10" i="53" s="1"/>
  <c r="J387" i="41"/>
  <c r="H149" i="41"/>
  <c r="I388" i="41"/>
  <c r="H406" i="41"/>
  <c r="H259" i="41"/>
  <c r="J191" i="41"/>
  <c r="H371" i="41"/>
  <c r="I305" i="41"/>
  <c r="H251" i="66"/>
  <c r="J451" i="58"/>
  <c r="I313" i="41"/>
  <c r="J295" i="41"/>
  <c r="H251" i="41"/>
  <c r="I414" i="41"/>
  <c r="J369" i="41"/>
  <c r="H180" i="41"/>
  <c r="H221" i="41"/>
  <c r="I397" i="41"/>
  <c r="H417" i="41"/>
  <c r="H161" i="41"/>
  <c r="H313" i="41"/>
  <c r="I294" i="41"/>
  <c r="C44" i="39"/>
  <c r="E93" i="38" s="1"/>
  <c r="G9" i="66"/>
  <c r="G9" i="74" s="1"/>
  <c r="H492" i="41"/>
  <c r="C17" i="39" s="1"/>
  <c r="R32" i="66"/>
  <c r="G201" i="66"/>
  <c r="L44" i="39"/>
  <c r="E161" i="38" s="1"/>
  <c r="J277" i="41"/>
  <c r="D2" i="57"/>
  <c r="G26" i="66"/>
  <c r="G26" i="74" s="1"/>
  <c r="H141" i="41"/>
  <c r="J296" i="41"/>
  <c r="D43" i="57"/>
  <c r="H493" i="58"/>
  <c r="E395" i="38"/>
  <c r="H494" i="58"/>
  <c r="G183" i="66"/>
  <c r="H230" i="41"/>
  <c r="G79" i="74" l="1"/>
  <c r="O124" i="66"/>
  <c r="P268" i="66" s="1"/>
  <c r="R268" i="66" s="1"/>
  <c r="S268" i="66" s="1"/>
  <c r="U268" i="66" s="1"/>
  <c r="G15" i="74"/>
  <c r="AC15" i="74" s="1"/>
  <c r="B21" i="75" s="1"/>
  <c r="E21" i="75" s="1"/>
  <c r="N53" i="74"/>
  <c r="AC11" i="74"/>
  <c r="AD11" i="74" s="1"/>
  <c r="AD19" i="74"/>
  <c r="B7" i="75" s="1"/>
  <c r="E7" i="75" s="1"/>
  <c r="B22" i="75"/>
  <c r="E22" i="75" s="1"/>
  <c r="N92" i="74"/>
  <c r="N59" i="74"/>
  <c r="AC59" i="74" s="1"/>
  <c r="AD59" i="74" s="1"/>
  <c r="AB162" i="66"/>
  <c r="AC162" i="66" s="1"/>
  <c r="AB223" i="66"/>
  <c r="AC223" i="66" s="1"/>
  <c r="G24" i="74"/>
  <c r="O24" i="74" s="1"/>
  <c r="AD128" i="74"/>
  <c r="C12" i="75" s="1"/>
  <c r="C27" i="75"/>
  <c r="AD5" i="74"/>
  <c r="B4" i="75" s="1"/>
  <c r="E4" i="75" s="1"/>
  <c r="B19" i="75"/>
  <c r="E19" i="75" s="1"/>
  <c r="G20" i="74"/>
  <c r="AD31" i="74"/>
  <c r="B11" i="75" s="1"/>
  <c r="E11" i="75" s="1"/>
  <c r="B26" i="75"/>
  <c r="E26" i="75" s="1"/>
  <c r="AD118" i="74"/>
  <c r="G57" i="74"/>
  <c r="G39" i="74"/>
  <c r="I20" i="74"/>
  <c r="O77" i="74"/>
  <c r="AC77" i="74"/>
  <c r="AD77" i="74" s="1"/>
  <c r="N80" i="74"/>
  <c r="O106" i="66"/>
  <c r="Z250" i="66" s="1"/>
  <c r="O108" i="66"/>
  <c r="P108" i="66" s="1"/>
  <c r="R108" i="66" s="1"/>
  <c r="S108" i="66" s="1"/>
  <c r="U108" i="66" s="1"/>
  <c r="G34" i="74"/>
  <c r="Z118" i="74"/>
  <c r="AA118" i="74"/>
  <c r="AA286" i="66"/>
  <c r="I116" i="74"/>
  <c r="N78" i="74"/>
  <c r="AB142" i="66"/>
  <c r="AC142" i="66" s="1"/>
  <c r="AC14" i="74"/>
  <c r="AD14" i="74" s="1"/>
  <c r="AC66" i="74"/>
  <c r="AD66" i="74" s="1"/>
  <c r="O5" i="74"/>
  <c r="G42" i="74"/>
  <c r="H122" i="74"/>
  <c r="N96" i="74"/>
  <c r="AB108" i="66"/>
  <c r="AC108" i="66" s="1"/>
  <c r="O15" i="74"/>
  <c r="AB106" i="66"/>
  <c r="AC106" i="66" s="1"/>
  <c r="O19" i="74"/>
  <c r="AA19" i="74" s="1"/>
  <c r="V12" i="74"/>
  <c r="R12" i="74"/>
  <c r="G107" i="74"/>
  <c r="H119" i="74"/>
  <c r="AC114" i="74"/>
  <c r="AD114" i="74" s="1"/>
  <c r="G35" i="74"/>
  <c r="O79" i="74"/>
  <c r="AC79" i="74"/>
  <c r="AD79" i="74" s="1"/>
  <c r="N88" i="74"/>
  <c r="O18" i="74"/>
  <c r="P28" i="74"/>
  <c r="Z28" i="74"/>
  <c r="AA28" i="74"/>
  <c r="V46" i="74"/>
  <c r="R46" i="74"/>
  <c r="N74" i="74"/>
  <c r="N73" i="74"/>
  <c r="P10" i="74"/>
  <c r="AA10" i="74"/>
  <c r="Z10" i="74"/>
  <c r="O251" i="66"/>
  <c r="H107" i="74"/>
  <c r="G25" i="74"/>
  <c r="I68" i="74"/>
  <c r="N90" i="74"/>
  <c r="N70" i="74"/>
  <c r="AB124" i="66"/>
  <c r="AC124" i="66" s="1"/>
  <c r="P128" i="74"/>
  <c r="AA128" i="74"/>
  <c r="Z128" i="74"/>
  <c r="Z60" i="74"/>
  <c r="AA60" i="74"/>
  <c r="Z94" i="74"/>
  <c r="AA94" i="74"/>
  <c r="AC106" i="74"/>
  <c r="AD106" i="74" s="1"/>
  <c r="O106" i="74"/>
  <c r="P106" i="74" s="1"/>
  <c r="N39" i="66"/>
  <c r="AB39" i="66" s="1"/>
  <c r="AC39" i="66" s="1"/>
  <c r="AA114" i="74"/>
  <c r="V48" i="74"/>
  <c r="R48" i="74"/>
  <c r="V144" i="74"/>
  <c r="W144" i="74"/>
  <c r="Y144" i="74" s="1"/>
  <c r="R144" i="74"/>
  <c r="S144" i="74" s="1"/>
  <c r="U144" i="74" s="1"/>
  <c r="AA18" i="74"/>
  <c r="O108" i="74"/>
  <c r="P108" i="74" s="1"/>
  <c r="AC108" i="74"/>
  <c r="AD108" i="74" s="1"/>
  <c r="N183" i="66"/>
  <c r="AB183" i="66" s="1"/>
  <c r="AC183" i="66" s="1"/>
  <c r="G184" i="66"/>
  <c r="AB184" i="66" s="1"/>
  <c r="AC184" i="66" s="1"/>
  <c r="G271" i="66"/>
  <c r="O271" i="66" s="1"/>
  <c r="AA76" i="74"/>
  <c r="Z76" i="74"/>
  <c r="Z31" i="66"/>
  <c r="AA31" i="74"/>
  <c r="Z31" i="74"/>
  <c r="AA175" i="66"/>
  <c r="AC124" i="74"/>
  <c r="AD124" i="74" s="1"/>
  <c r="O124" i="74"/>
  <c r="P124" i="74" s="1"/>
  <c r="AA58" i="74"/>
  <c r="Z58" i="74"/>
  <c r="Z5" i="74"/>
  <c r="AA5" i="74"/>
  <c r="Z11" i="74"/>
  <c r="O210" i="66"/>
  <c r="Z14" i="74"/>
  <c r="AA14" i="74"/>
  <c r="O142" i="74"/>
  <c r="P142" i="74" s="1"/>
  <c r="AC142" i="74"/>
  <c r="AD142" i="74" s="1"/>
  <c r="AA24" i="74"/>
  <c r="Z24" i="74"/>
  <c r="AB5" i="66"/>
  <c r="AC5" i="66" s="1"/>
  <c r="AB169" i="66"/>
  <c r="AC169" i="66" s="1"/>
  <c r="AB107" i="66"/>
  <c r="AC107" i="66" s="1"/>
  <c r="AB178" i="66"/>
  <c r="AC178" i="66" s="1"/>
  <c r="AB14" i="66"/>
  <c r="AC14" i="66" s="1"/>
  <c r="AB158" i="66"/>
  <c r="AC158" i="66" s="1"/>
  <c r="AB221" i="66"/>
  <c r="AC221" i="66" s="1"/>
  <c r="AB224" i="66"/>
  <c r="AC224" i="66" s="1"/>
  <c r="AB149" i="66"/>
  <c r="AC149" i="66" s="1"/>
  <c r="AB24" i="66"/>
  <c r="AC24" i="66" s="1"/>
  <c r="AB203" i="66"/>
  <c r="AC203" i="66" s="1"/>
  <c r="AB80" i="66"/>
  <c r="AC80" i="66" s="1"/>
  <c r="AB18" i="66"/>
  <c r="AC18" i="66" s="1"/>
  <c r="AB59" i="66"/>
  <c r="AC59" i="66" s="1"/>
  <c r="AB66" i="66"/>
  <c r="AC66" i="66" s="1"/>
  <c r="AB25" i="66"/>
  <c r="AC25" i="66" s="1"/>
  <c r="AB11" i="66"/>
  <c r="AC11" i="66" s="1"/>
  <c r="AB96" i="66"/>
  <c r="AC96" i="66" s="1"/>
  <c r="AB236" i="66"/>
  <c r="AC236" i="66" s="1"/>
  <c r="AB77" i="66"/>
  <c r="AC77" i="66" s="1"/>
  <c r="AB240" i="66"/>
  <c r="AC240" i="66" s="1"/>
  <c r="AB92" i="66"/>
  <c r="AC92" i="66" s="1"/>
  <c r="AB79" i="66"/>
  <c r="AC79" i="66" s="1"/>
  <c r="AB15" i="66"/>
  <c r="AC15" i="66" s="1"/>
  <c r="AB114" i="66"/>
  <c r="AC114" i="66" s="1"/>
  <c r="AB34" i="66"/>
  <c r="AC34" i="66" s="1"/>
  <c r="AB168" i="66"/>
  <c r="AC168" i="66" s="1"/>
  <c r="AB19" i="66"/>
  <c r="AC19" i="66" s="1"/>
  <c r="AB163" i="66"/>
  <c r="AC163" i="66" s="1"/>
  <c r="AB159" i="66"/>
  <c r="AC159" i="66" s="1"/>
  <c r="AB70" i="66"/>
  <c r="AC70" i="66" s="1"/>
  <c r="AB214" i="66"/>
  <c r="AC214" i="66" s="1"/>
  <c r="AB251" i="66"/>
  <c r="AC251" i="66" s="1"/>
  <c r="P142" i="66"/>
  <c r="R142" i="66" s="1"/>
  <c r="S142" i="66" s="1"/>
  <c r="U142" i="66" s="1"/>
  <c r="Z142" i="66"/>
  <c r="Z286" i="66"/>
  <c r="O168" i="66"/>
  <c r="O178" i="66"/>
  <c r="O14" i="66"/>
  <c r="O236" i="66"/>
  <c r="O92" i="66"/>
  <c r="O149" i="66"/>
  <c r="Z5" i="66" s="1"/>
  <c r="O19" i="66"/>
  <c r="Z19" i="66" s="1"/>
  <c r="O163" i="66"/>
  <c r="O11" i="66"/>
  <c r="Z11" i="66" s="1"/>
  <c r="O66" i="66"/>
  <c r="Z210" i="66" s="1"/>
  <c r="AA124" i="66"/>
  <c r="O159" i="66"/>
  <c r="O70" i="66"/>
  <c r="O24" i="66"/>
  <c r="O25" i="66"/>
  <c r="P124" i="66"/>
  <c r="O214" i="66"/>
  <c r="O18" i="66"/>
  <c r="AA162" i="66" s="1"/>
  <c r="Z124" i="66"/>
  <c r="O158" i="66"/>
  <c r="O221" i="66"/>
  <c r="O224" i="66"/>
  <c r="O169" i="66"/>
  <c r="O79" i="66"/>
  <c r="AA223" i="66" s="1"/>
  <c r="O5" i="66"/>
  <c r="O15" i="66"/>
  <c r="Z159" i="66" s="1"/>
  <c r="O77" i="66"/>
  <c r="O240" i="66"/>
  <c r="O114" i="66"/>
  <c r="Z258" i="66" s="1"/>
  <c r="Z268" i="66"/>
  <c r="Z106" i="66"/>
  <c r="AA268" i="66"/>
  <c r="O34" i="66"/>
  <c r="O59" i="66"/>
  <c r="AA59" i="66" s="1"/>
  <c r="R238" i="66"/>
  <c r="S238" i="66" s="1"/>
  <c r="U238" i="66" s="1"/>
  <c r="O96" i="66"/>
  <c r="F28" i="39"/>
  <c r="O80" i="66"/>
  <c r="F27" i="39"/>
  <c r="R272" i="66"/>
  <c r="S272" i="66" s="1"/>
  <c r="U272" i="66" s="1"/>
  <c r="M7" i="41"/>
  <c r="J440" i="41"/>
  <c r="O107" i="66"/>
  <c r="Z251" i="66" s="1"/>
  <c r="C50" i="39"/>
  <c r="E97" i="38" s="1"/>
  <c r="H164" i="41"/>
  <c r="K49" i="39"/>
  <c r="E147" i="38" s="1"/>
  <c r="K51" i="39"/>
  <c r="E149" i="38" s="1"/>
  <c r="C36" i="63"/>
  <c r="C49" i="39"/>
  <c r="E96" i="38" s="1"/>
  <c r="C47" i="39"/>
  <c r="E94" i="38" s="1"/>
  <c r="K48" i="39"/>
  <c r="E146" i="38" s="1"/>
  <c r="E401" i="38"/>
  <c r="H496" i="58" s="1"/>
  <c r="H156" i="41"/>
  <c r="C51" i="39"/>
  <c r="E98" i="38" s="1"/>
  <c r="K50" i="39"/>
  <c r="E148" i="38" s="1"/>
  <c r="R144" i="66"/>
  <c r="S144" i="66" s="1"/>
  <c r="U144" i="66" s="1"/>
  <c r="K153" i="66"/>
  <c r="H471" i="58"/>
  <c r="K47" i="39"/>
  <c r="E145" i="38" s="1"/>
  <c r="C6" i="63"/>
  <c r="H152" i="41"/>
  <c r="R128" i="66"/>
  <c r="S128" i="66" s="1"/>
  <c r="U128" i="66" s="1"/>
  <c r="K201" i="66"/>
  <c r="I471" i="58"/>
  <c r="H148" i="41"/>
  <c r="C5" i="63"/>
  <c r="C48" i="39"/>
  <c r="E95" i="38" s="1"/>
  <c r="E398" i="38"/>
  <c r="AA114" i="66"/>
  <c r="AA14" i="66"/>
  <c r="D29" i="39"/>
  <c r="D32" i="39"/>
  <c r="D33" i="39" s="1"/>
  <c r="H160" i="4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G127" i="66"/>
  <c r="G127" i="74" s="1"/>
  <c r="J426" i="41"/>
  <c r="AA159" i="66"/>
  <c r="Z15" i="66"/>
  <c r="AA15" i="66"/>
  <c r="K57" i="66"/>
  <c r="I471" i="37"/>
  <c r="H493" i="41"/>
  <c r="G40" i="66"/>
  <c r="G40" i="74" s="1"/>
  <c r="O40" i="74" s="1"/>
  <c r="K105" i="66"/>
  <c r="J471" i="37"/>
  <c r="I156" i="41"/>
  <c r="J451" i="41"/>
  <c r="H471" i="37"/>
  <c r="K9" i="66"/>
  <c r="K9" i="74" s="1"/>
  <c r="T9" i="74" s="1"/>
  <c r="R286" i="66"/>
  <c r="S286" i="66" s="1"/>
  <c r="U286" i="66" s="1"/>
  <c r="Z79" i="66"/>
  <c r="AA79" i="66"/>
  <c r="J471" i="58"/>
  <c r="K249" i="66"/>
  <c r="O249" i="66" s="1"/>
  <c r="J156" i="41"/>
  <c r="C4" i="63"/>
  <c r="R124" i="66"/>
  <c r="S124" i="66" s="1"/>
  <c r="U124" i="66" s="1"/>
  <c r="E9" i="53"/>
  <c r="F9" i="53" s="1"/>
  <c r="G185" i="66"/>
  <c r="C35" i="63"/>
  <c r="Z25" i="66"/>
  <c r="AA169" i="66"/>
  <c r="H494" i="41"/>
  <c r="E3" i="53"/>
  <c r="F3" i="53" s="1"/>
  <c r="H9" i="53" s="1"/>
  <c r="G41" i="66"/>
  <c r="G41" i="74" s="1"/>
  <c r="AD15" i="74" l="1"/>
  <c r="B6" i="75" s="1"/>
  <c r="E6" i="75" s="1"/>
  <c r="O92" i="74"/>
  <c r="AC92" i="74"/>
  <c r="AD92" i="74" s="1"/>
  <c r="O59" i="74"/>
  <c r="O39" i="66"/>
  <c r="AA252" i="66"/>
  <c r="Z155" i="66"/>
  <c r="AA210" i="66"/>
  <c r="O183" i="66"/>
  <c r="AA183" i="66" s="1"/>
  <c r="O184" i="66"/>
  <c r="AA40" i="66" s="1"/>
  <c r="Z19" i="74"/>
  <c r="Z163" i="66"/>
  <c r="AC24" i="74"/>
  <c r="AD24" i="74" s="1"/>
  <c r="AC9" i="74"/>
  <c r="AD9" i="74" s="1"/>
  <c r="Z162" i="66"/>
  <c r="O9" i="74"/>
  <c r="P9" i="74" s="1"/>
  <c r="N39" i="74"/>
  <c r="O39" i="74" s="1"/>
  <c r="Z252" i="66"/>
  <c r="AA108" i="66"/>
  <c r="P252" i="66"/>
  <c r="R252" i="66" s="1"/>
  <c r="S252" i="66" s="1"/>
  <c r="U252" i="66" s="1"/>
  <c r="Z108" i="66"/>
  <c r="V128" i="74"/>
  <c r="W128" i="74"/>
  <c r="Y128" i="74" s="1"/>
  <c r="R128" i="74"/>
  <c r="S128" i="74" s="1"/>
  <c r="U128" i="74" s="1"/>
  <c r="AB57" i="66"/>
  <c r="K57" i="74"/>
  <c r="Z178" i="66"/>
  <c r="S9" i="74"/>
  <c r="O70" i="74"/>
  <c r="AC70" i="74"/>
  <c r="AD70" i="74" s="1"/>
  <c r="P250" i="66"/>
  <c r="R250" i="66" s="1"/>
  <c r="S250" i="66" s="1"/>
  <c r="U250" i="66" s="1"/>
  <c r="AA106" i="66"/>
  <c r="P106" i="66"/>
  <c r="R106" i="66" s="1"/>
  <c r="S106" i="66" s="1"/>
  <c r="U106" i="66" s="1"/>
  <c r="AA250" i="66"/>
  <c r="AB271" i="66"/>
  <c r="AC271" i="66" s="1"/>
  <c r="Q9" i="74"/>
  <c r="W9" i="74" s="1"/>
  <c r="Y9" i="74" s="1"/>
  <c r="O107" i="74"/>
  <c r="AC107" i="74"/>
  <c r="AD107" i="74" s="1"/>
  <c r="O80" i="74"/>
  <c r="AC80" i="74"/>
  <c r="AD80" i="74" s="1"/>
  <c r="X9" i="74"/>
  <c r="Z158" i="66"/>
  <c r="AC40" i="74"/>
  <c r="AD40" i="74" s="1"/>
  <c r="O25" i="74"/>
  <c r="AA25" i="74" s="1"/>
  <c r="AC25" i="74"/>
  <c r="AA77" i="74"/>
  <c r="Z77" i="74"/>
  <c r="R28" i="74"/>
  <c r="V28" i="74"/>
  <c r="O127" i="74"/>
  <c r="AC127" i="74"/>
  <c r="AB105" i="66"/>
  <c r="K105" i="74"/>
  <c r="R10" i="74"/>
  <c r="V10" i="74"/>
  <c r="AC96" i="74"/>
  <c r="AD96" i="74" s="1"/>
  <c r="O96" i="74"/>
  <c r="AC34" i="74"/>
  <c r="O34" i="74"/>
  <c r="AA11" i="74"/>
  <c r="AA15" i="74"/>
  <c r="Z15" i="74"/>
  <c r="U9" i="74"/>
  <c r="K170" i="66"/>
  <c r="O170" i="66" s="1"/>
  <c r="AA124" i="74"/>
  <c r="Z124" i="74"/>
  <c r="Z25" i="74"/>
  <c r="K20" i="66"/>
  <c r="Z114" i="74"/>
  <c r="Z106" i="74"/>
  <c r="AA106" i="74"/>
  <c r="V94" i="74"/>
  <c r="R94" i="74"/>
  <c r="S94" i="74" s="1"/>
  <c r="U94" i="74" s="1"/>
  <c r="W94" i="74"/>
  <c r="Y94" i="74" s="1"/>
  <c r="AA59" i="74"/>
  <c r="Z66" i="74"/>
  <c r="V60" i="74"/>
  <c r="W60" i="74"/>
  <c r="Y60" i="74" s="1"/>
  <c r="R60" i="74"/>
  <c r="S60" i="74" s="1"/>
  <c r="U60" i="74" s="1"/>
  <c r="Z59" i="74"/>
  <c r="AA66" i="74"/>
  <c r="K17" i="66"/>
  <c r="Q17" i="66" s="1"/>
  <c r="V76" i="74"/>
  <c r="R76" i="74"/>
  <c r="S76" i="74" s="1"/>
  <c r="U76" i="74" s="1"/>
  <c r="W76" i="74"/>
  <c r="Y76" i="74" s="1"/>
  <c r="K30" i="66"/>
  <c r="AA108" i="74"/>
  <c r="Z108" i="74"/>
  <c r="AA79" i="74"/>
  <c r="Z79" i="74"/>
  <c r="AA40" i="74"/>
  <c r="Z18" i="74"/>
  <c r="K186" i="66"/>
  <c r="O186" i="66" s="1"/>
  <c r="Z40" i="74"/>
  <c r="Z14" i="66"/>
  <c r="AA11" i="66"/>
  <c r="K161" i="66"/>
  <c r="AA158" i="66"/>
  <c r="AA155" i="66"/>
  <c r="H464" i="58"/>
  <c r="AA142" i="74"/>
  <c r="Z142" i="74"/>
  <c r="V58" i="74"/>
  <c r="R58" i="74"/>
  <c r="S58" i="74" s="1"/>
  <c r="U58" i="74" s="1"/>
  <c r="W58" i="74"/>
  <c r="Y58" i="74" s="1"/>
  <c r="AA9" i="74"/>
  <c r="Z9" i="74"/>
  <c r="H465" i="37"/>
  <c r="AA25" i="66"/>
  <c r="Z114" i="66"/>
  <c r="AA34" i="66"/>
  <c r="Z70" i="66"/>
  <c r="AA224" i="66"/>
  <c r="Z221" i="66"/>
  <c r="Z169" i="66"/>
  <c r="AB249" i="66"/>
  <c r="AC249" i="66" s="1"/>
  <c r="AB170" i="66"/>
  <c r="AC170" i="66" s="1"/>
  <c r="AB40" i="66"/>
  <c r="AC40" i="66" s="1"/>
  <c r="Z77" i="66"/>
  <c r="AC57" i="66"/>
  <c r="AA92" i="66"/>
  <c r="AB161" i="66"/>
  <c r="AC161" i="66" s="1"/>
  <c r="AB153" i="66"/>
  <c r="AC153" i="66" s="1"/>
  <c r="AC105" i="66"/>
  <c r="AB127" i="66"/>
  <c r="AC127" i="66" s="1"/>
  <c r="AB201" i="66"/>
  <c r="AC201" i="66" s="1"/>
  <c r="AB9" i="66"/>
  <c r="AC9" i="66" s="1"/>
  <c r="Z92" i="66"/>
  <c r="Z236" i="66"/>
  <c r="AA163" i="66"/>
  <c r="AA236" i="66"/>
  <c r="Z96" i="66"/>
  <c r="AA5" i="66"/>
  <c r="Z214" i="66"/>
  <c r="AA70" i="66"/>
  <c r="AA258" i="66"/>
  <c r="AA214" i="66"/>
  <c r="AA19" i="66"/>
  <c r="H5" i="6"/>
  <c r="AA149" i="66"/>
  <c r="Z66" i="66"/>
  <c r="Z149" i="66"/>
  <c r="AA66" i="66"/>
  <c r="Z18" i="66"/>
  <c r="AA77" i="66"/>
  <c r="AA18" i="66"/>
  <c r="AA221" i="66"/>
  <c r="Z168" i="66"/>
  <c r="AA178" i="66"/>
  <c r="O40" i="66"/>
  <c r="AA168" i="66"/>
  <c r="O127" i="66"/>
  <c r="Z127" i="66" s="1"/>
  <c r="AA24" i="66"/>
  <c r="Z24" i="66"/>
  <c r="Z223" i="66"/>
  <c r="Z34" i="66"/>
  <c r="Z203" i="66"/>
  <c r="AA203" i="66"/>
  <c r="Z59" i="66"/>
  <c r="F17" i="39"/>
  <c r="E280" i="38"/>
  <c r="E286" i="38"/>
  <c r="E292" i="38"/>
  <c r="E298" i="38"/>
  <c r="I7" i="6"/>
  <c r="AA240" i="66"/>
  <c r="P224" i="66"/>
  <c r="R224" i="66" s="1"/>
  <c r="S224" i="66" s="1"/>
  <c r="U224" i="66" s="1"/>
  <c r="Z240" i="66"/>
  <c r="P240" i="66"/>
  <c r="AA96" i="66"/>
  <c r="P96" i="66"/>
  <c r="G17" i="39"/>
  <c r="Z80" i="66"/>
  <c r="P80" i="66"/>
  <c r="Z224" i="66"/>
  <c r="I6" i="6"/>
  <c r="AA80" i="66"/>
  <c r="M9" i="41"/>
  <c r="Z107" i="66"/>
  <c r="AA107" i="66"/>
  <c r="AA251" i="66"/>
  <c r="H464" i="37"/>
  <c r="H464" i="41" s="1"/>
  <c r="D2" i="53"/>
  <c r="F2" i="53" s="1"/>
  <c r="H8" i="53" s="1"/>
  <c r="H457" i="58"/>
  <c r="H465" i="58"/>
  <c r="AA39" i="66"/>
  <c r="H457" i="37"/>
  <c r="Z183" i="66"/>
  <c r="H495" i="58"/>
  <c r="C41" i="63" s="1"/>
  <c r="H455" i="37"/>
  <c r="H456" i="58"/>
  <c r="K174" i="66"/>
  <c r="H471" i="41"/>
  <c r="K42" i="66"/>
  <c r="E30" i="39"/>
  <c r="H497" i="58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O30" i="66"/>
  <c r="S30" i="66"/>
  <c r="Q30" i="66"/>
  <c r="T30" i="66"/>
  <c r="K26" i="66"/>
  <c r="K26" i="74" s="1"/>
  <c r="X26" i="74" s="1"/>
  <c r="H456" i="37"/>
  <c r="O153" i="66"/>
  <c r="S153" i="66"/>
  <c r="T153" i="66"/>
  <c r="Q153" i="66"/>
  <c r="O57" i="66"/>
  <c r="Q57" i="66"/>
  <c r="T57" i="66"/>
  <c r="K17" i="39"/>
  <c r="M8" i="41"/>
  <c r="AA271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O9" i="66"/>
  <c r="S9" i="66"/>
  <c r="T9" i="66"/>
  <c r="Q9" i="66"/>
  <c r="O201" i="66"/>
  <c r="T201" i="66"/>
  <c r="Q201" i="66"/>
  <c r="T20" i="66"/>
  <c r="E411" i="38"/>
  <c r="G181" i="66"/>
  <c r="J471" i="41"/>
  <c r="Q17" i="39"/>
  <c r="P29" i="39"/>
  <c r="Q29" i="39" s="1"/>
  <c r="Z40" i="66"/>
  <c r="G9" i="53"/>
  <c r="H3" i="53"/>
  <c r="G3" i="53" s="1"/>
  <c r="O105" i="66"/>
  <c r="T105" i="66"/>
  <c r="Q105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O161" i="66"/>
  <c r="S161" i="66"/>
  <c r="T161" i="66"/>
  <c r="Q161" i="66"/>
  <c r="Q249" i="66"/>
  <c r="T249" i="66"/>
  <c r="H497" i="37"/>
  <c r="H495" i="37"/>
  <c r="H496" i="37"/>
  <c r="D8" i="53"/>
  <c r="F8" i="53" s="1"/>
  <c r="H2" i="53" s="1"/>
  <c r="H455" i="58"/>
  <c r="K164" i="66"/>
  <c r="Z39" i="66" l="1"/>
  <c r="AA184" i="66"/>
  <c r="AB17" i="66"/>
  <c r="AC17" i="66" s="1"/>
  <c r="T186" i="66"/>
  <c r="S17" i="66"/>
  <c r="S186" i="66"/>
  <c r="T17" i="66"/>
  <c r="Q186" i="66"/>
  <c r="K42" i="74"/>
  <c r="S42" i="74" s="1"/>
  <c r="AA92" i="74"/>
  <c r="Z92" i="74"/>
  <c r="AC39" i="74"/>
  <c r="AD39" i="74" s="1"/>
  <c r="AD127" i="74"/>
  <c r="C11" i="75" s="1"/>
  <c r="C26" i="75"/>
  <c r="T170" i="66"/>
  <c r="Q170" i="66"/>
  <c r="AD34" i="74"/>
  <c r="B13" i="75" s="1"/>
  <c r="E13" i="75" s="1"/>
  <c r="B28" i="75"/>
  <c r="E28" i="75" s="1"/>
  <c r="S170" i="66"/>
  <c r="AD25" i="74"/>
  <c r="B9" i="75" s="1"/>
  <c r="E9" i="75" s="1"/>
  <c r="B24" i="75"/>
  <c r="E24" i="75" s="1"/>
  <c r="P80" i="74"/>
  <c r="AA80" i="74"/>
  <c r="Z80" i="74"/>
  <c r="Z107" i="74"/>
  <c r="AA107" i="74"/>
  <c r="AB30" i="66"/>
  <c r="AC30" i="66" s="1"/>
  <c r="K30" i="74"/>
  <c r="T30" i="74" s="1"/>
  <c r="O26" i="74"/>
  <c r="P26" i="74" s="1"/>
  <c r="Q57" i="74"/>
  <c r="X57" i="74"/>
  <c r="T57" i="74"/>
  <c r="AC57" i="74"/>
  <c r="AD57" i="74" s="1"/>
  <c r="AC26" i="74"/>
  <c r="Z34" i="74"/>
  <c r="AA34" i="74"/>
  <c r="H465" i="41"/>
  <c r="AB186" i="66"/>
  <c r="AC186" i="66" s="1"/>
  <c r="S26" i="74"/>
  <c r="T26" i="74"/>
  <c r="K20" i="74"/>
  <c r="P96" i="74"/>
  <c r="Z96" i="74"/>
  <c r="AA96" i="74"/>
  <c r="O17" i="66"/>
  <c r="K17" i="74"/>
  <c r="X17" i="74" s="1"/>
  <c r="Q26" i="74"/>
  <c r="W26" i="74" s="1"/>
  <c r="Y26" i="74" s="1"/>
  <c r="P161" i="66"/>
  <c r="R161" i="66" s="1"/>
  <c r="AC105" i="74"/>
  <c r="AD105" i="74" s="1"/>
  <c r="X105" i="74"/>
  <c r="Q105" i="74"/>
  <c r="T105" i="74"/>
  <c r="O105" i="74"/>
  <c r="Z70" i="74"/>
  <c r="AA70" i="74"/>
  <c r="O57" i="74"/>
  <c r="G180" i="66"/>
  <c r="V142" i="74"/>
  <c r="W142" i="74"/>
  <c r="Y142" i="74" s="1"/>
  <c r="R142" i="74"/>
  <c r="S142" i="74" s="1"/>
  <c r="U142" i="74" s="1"/>
  <c r="S30" i="74"/>
  <c r="X30" i="74"/>
  <c r="AC30" i="74"/>
  <c r="AD30" i="74" s="1"/>
  <c r="O30" i="74"/>
  <c r="P30" i="74" s="1"/>
  <c r="V124" i="74"/>
  <c r="W124" i="74"/>
  <c r="Y124" i="74" s="1"/>
  <c r="R124" i="74"/>
  <c r="S124" i="74" s="1"/>
  <c r="U124" i="74" s="1"/>
  <c r="V9" i="74"/>
  <c r="R9" i="74"/>
  <c r="T42" i="74"/>
  <c r="Q42" i="74"/>
  <c r="W42" i="74" s="1"/>
  <c r="X42" i="74"/>
  <c r="O42" i="74"/>
  <c r="P42" i="74" s="1"/>
  <c r="AC42" i="74"/>
  <c r="AA39" i="74"/>
  <c r="Z39" i="74"/>
  <c r="V106" i="74"/>
  <c r="W106" i="74"/>
  <c r="Y106" i="74" s="1"/>
  <c r="R106" i="74"/>
  <c r="S106" i="74" s="1"/>
  <c r="U106" i="74" s="1"/>
  <c r="T20" i="74"/>
  <c r="X20" i="74"/>
  <c r="N179" i="66"/>
  <c r="AA127" i="74"/>
  <c r="Z127" i="74"/>
  <c r="V108" i="74"/>
  <c r="W108" i="74"/>
  <c r="Y108" i="74" s="1"/>
  <c r="R108" i="74"/>
  <c r="S108" i="74" s="1"/>
  <c r="U108" i="74" s="1"/>
  <c r="AB174" i="66"/>
  <c r="AC174" i="66" s="1"/>
  <c r="AB26" i="66"/>
  <c r="AC26" i="66" s="1"/>
  <c r="AB42" i="66"/>
  <c r="AC42" i="66" s="1"/>
  <c r="Z184" i="66"/>
  <c r="Z271" i="66"/>
  <c r="AA127" i="66"/>
  <c r="O42" i="66"/>
  <c r="P186" i="66" s="1"/>
  <c r="R186" i="66" s="1"/>
  <c r="O174" i="66"/>
  <c r="P174" i="66" s="1"/>
  <c r="E291" i="38"/>
  <c r="E297" i="38"/>
  <c r="E279" i="38"/>
  <c r="E285" i="38"/>
  <c r="N290" i="66"/>
  <c r="H455" i="41"/>
  <c r="R240" i="66"/>
  <c r="S240" i="66" s="1"/>
  <c r="U240" i="66" s="1"/>
  <c r="R96" i="66"/>
  <c r="S96" i="66" s="1"/>
  <c r="U96" i="66" s="1"/>
  <c r="R80" i="66"/>
  <c r="S80" i="66" s="1"/>
  <c r="U80" i="66" s="1"/>
  <c r="G2" i="53"/>
  <c r="E284" i="38" s="1"/>
  <c r="S174" i="66"/>
  <c r="H497" i="41"/>
  <c r="E410" i="38"/>
  <c r="H457" i="41"/>
  <c r="Q174" i="66"/>
  <c r="T174" i="66"/>
  <c r="Q42" i="66"/>
  <c r="U186" i="66"/>
  <c r="S42" i="66"/>
  <c r="T42" i="66"/>
  <c r="P42" i="66"/>
  <c r="AA186" i="66"/>
  <c r="P201" i="66"/>
  <c r="H456" i="41"/>
  <c r="U17" i="66"/>
  <c r="U153" i="66"/>
  <c r="U170" i="66"/>
  <c r="AA161" i="66"/>
  <c r="U161" i="66"/>
  <c r="U9" i="66"/>
  <c r="P17" i="66"/>
  <c r="U30" i="66"/>
  <c r="AA249" i="66"/>
  <c r="P105" i="66"/>
  <c r="AA105" i="66"/>
  <c r="Z249" i="66"/>
  <c r="Z105" i="66"/>
  <c r="Z17" i="66"/>
  <c r="AA9" i="66"/>
  <c r="AA153" i="66"/>
  <c r="Z9" i="66"/>
  <c r="P9" i="66"/>
  <c r="Z153" i="66"/>
  <c r="N146" i="66"/>
  <c r="N146" i="74" s="1"/>
  <c r="G8" i="53"/>
  <c r="E405" i="38"/>
  <c r="G37" i="66"/>
  <c r="G37" i="74" s="1"/>
  <c r="H496" i="41"/>
  <c r="AA17" i="66"/>
  <c r="P249" i="66"/>
  <c r="P153" i="66"/>
  <c r="M35" i="66"/>
  <c r="K29" i="39"/>
  <c r="T164" i="66"/>
  <c r="Z161" i="66"/>
  <c r="M179" i="66"/>
  <c r="N35" i="66"/>
  <c r="N35" i="74" s="1"/>
  <c r="B18" i="8"/>
  <c r="C11" i="63"/>
  <c r="H495" i="41"/>
  <c r="M181" i="66"/>
  <c r="O181" i="66" s="1"/>
  <c r="J29" i="39"/>
  <c r="Q26" i="66"/>
  <c r="S26" i="66"/>
  <c r="T26" i="66"/>
  <c r="O26" i="66"/>
  <c r="E404" i="38"/>
  <c r="G36" i="66"/>
  <c r="G36" i="74" s="1"/>
  <c r="L29" i="39"/>
  <c r="AA57" i="66"/>
  <c r="AA201" i="66"/>
  <c r="P57" i="66"/>
  <c r="Z57" i="66"/>
  <c r="Z201" i="66"/>
  <c r="O17" i="74" l="1"/>
  <c r="P17" i="74" s="1"/>
  <c r="Q30" i="74"/>
  <c r="W30" i="74" s="1"/>
  <c r="AA42" i="66"/>
  <c r="AD26" i="74"/>
  <c r="B10" i="75" s="1"/>
  <c r="E10" i="75" s="1"/>
  <c r="B25" i="75"/>
  <c r="E25" i="75" s="1"/>
  <c r="AD42" i="74"/>
  <c r="B14" i="75" s="1"/>
  <c r="E14" i="75" s="1"/>
  <c r="B29" i="75"/>
  <c r="E29" i="75" s="1"/>
  <c r="U26" i="74"/>
  <c r="AC17" i="74"/>
  <c r="AD17" i="74" s="1"/>
  <c r="S17" i="74"/>
  <c r="V96" i="74"/>
  <c r="R96" i="74"/>
  <c r="S96" i="74" s="1"/>
  <c r="U96" i="74" s="1"/>
  <c r="W96" i="74"/>
  <c r="Y96" i="74" s="1"/>
  <c r="P57" i="74"/>
  <c r="AA57" i="74"/>
  <c r="Z57" i="74"/>
  <c r="P30" i="66"/>
  <c r="R30" i="66" s="1"/>
  <c r="AA174" i="66"/>
  <c r="T17" i="74"/>
  <c r="P105" i="74"/>
  <c r="AA105" i="74"/>
  <c r="Z105" i="74"/>
  <c r="Q17" i="74"/>
  <c r="W17" i="74" s="1"/>
  <c r="Y17" i="74" s="1"/>
  <c r="AA30" i="66"/>
  <c r="Z174" i="66"/>
  <c r="Z30" i="66"/>
  <c r="M35" i="74"/>
  <c r="Y30" i="74"/>
  <c r="R80" i="74"/>
  <c r="S80" i="74" s="1"/>
  <c r="U80" i="74" s="1"/>
  <c r="V80" i="74"/>
  <c r="W80" i="74"/>
  <c r="Y80" i="74" s="1"/>
  <c r="Y42" i="74"/>
  <c r="U30" i="74"/>
  <c r="N185" i="66"/>
  <c r="M180" i="66"/>
  <c r="AB180" i="66" s="1"/>
  <c r="AC180" i="66" s="1"/>
  <c r="Z42" i="74"/>
  <c r="AA42" i="74"/>
  <c r="U42" i="74"/>
  <c r="AA17" i="74"/>
  <c r="Z17" i="74"/>
  <c r="Z26" i="74"/>
  <c r="AA26" i="74"/>
  <c r="AA30" i="74"/>
  <c r="Z30" i="74"/>
  <c r="AB35" i="66"/>
  <c r="AC35" i="66" s="1"/>
  <c r="AB179" i="66"/>
  <c r="AC179" i="66" s="1"/>
  <c r="AB181" i="66"/>
  <c r="AC181" i="66" s="1"/>
  <c r="Z42" i="66"/>
  <c r="Z186" i="66"/>
  <c r="E296" i="38"/>
  <c r="E290" i="38"/>
  <c r="E278" i="38"/>
  <c r="N20" i="66"/>
  <c r="U174" i="66"/>
  <c r="R42" i="66"/>
  <c r="R174" i="66"/>
  <c r="R201" i="66"/>
  <c r="S201" i="66" s="1"/>
  <c r="U201" i="66" s="1"/>
  <c r="U42" i="66"/>
  <c r="R153" i="66"/>
  <c r="R105" i="66"/>
  <c r="S105" i="66" s="1"/>
  <c r="U105" i="66" s="1"/>
  <c r="R17" i="66"/>
  <c r="S35" i="66"/>
  <c r="U35" i="66" s="1"/>
  <c r="Q35" i="66"/>
  <c r="O35" i="66"/>
  <c r="N41" i="66"/>
  <c r="N41" i="74" s="1"/>
  <c r="U26" i="66"/>
  <c r="R9" i="66"/>
  <c r="M36" i="66"/>
  <c r="P26" i="66"/>
  <c r="AA26" i="66"/>
  <c r="Z26" i="66"/>
  <c r="Z170" i="66"/>
  <c r="AA170" i="66"/>
  <c r="P170" i="66"/>
  <c r="M41" i="66"/>
  <c r="S179" i="66"/>
  <c r="U179" i="66" s="1"/>
  <c r="Q179" i="66"/>
  <c r="O179" i="66"/>
  <c r="M37" i="66"/>
  <c r="M37" i="74" s="1"/>
  <c r="O37" i="74" s="1"/>
  <c r="P37" i="74" s="1"/>
  <c r="R57" i="66"/>
  <c r="S57" i="66" s="1"/>
  <c r="U57" i="66" s="1"/>
  <c r="Q181" i="66"/>
  <c r="W181" i="66" s="1"/>
  <c r="Y181" i="66" s="1"/>
  <c r="S181" i="66"/>
  <c r="U181" i="66" s="1"/>
  <c r="M185" i="66"/>
  <c r="R249" i="66"/>
  <c r="S249" i="66" s="1"/>
  <c r="U249" i="66" s="1"/>
  <c r="O180" i="66" l="1"/>
  <c r="U17" i="74"/>
  <c r="R105" i="74"/>
  <c r="S105" i="74" s="1"/>
  <c r="U105" i="74" s="1"/>
  <c r="V105" i="74"/>
  <c r="W105" i="74"/>
  <c r="Y105" i="74" s="1"/>
  <c r="AC37" i="74"/>
  <c r="AD37" i="74" s="1"/>
  <c r="S37" i="74"/>
  <c r="U37" i="74" s="1"/>
  <c r="Q37" i="74"/>
  <c r="W37" i="74" s="1"/>
  <c r="Y37" i="74" s="1"/>
  <c r="S35" i="74"/>
  <c r="U35" i="74" s="1"/>
  <c r="Q35" i="74"/>
  <c r="W35" i="74" s="1"/>
  <c r="Y35" i="74" s="1"/>
  <c r="O35" i="74"/>
  <c r="AC35" i="74"/>
  <c r="AD35" i="74" s="1"/>
  <c r="O36" i="66"/>
  <c r="Z36" i="66" s="1"/>
  <c r="M36" i="74"/>
  <c r="V57" i="74"/>
  <c r="W57" i="74"/>
  <c r="Y57" i="74" s="1"/>
  <c r="R57" i="74"/>
  <c r="S57" i="74" s="1"/>
  <c r="U57" i="74" s="1"/>
  <c r="M41" i="74"/>
  <c r="R17" i="74"/>
  <c r="V17" i="74"/>
  <c r="V30" i="74"/>
  <c r="R30" i="74"/>
  <c r="M20" i="66"/>
  <c r="S20" i="66" s="1"/>
  <c r="U20" i="66" s="1"/>
  <c r="N164" i="66"/>
  <c r="N20" i="74" s="1"/>
  <c r="Z37" i="74"/>
  <c r="AA37" i="74"/>
  <c r="Q180" i="66"/>
  <c r="W180" i="66" s="1"/>
  <c r="Y180" i="66" s="1"/>
  <c r="S180" i="66"/>
  <c r="U180" i="66" s="1"/>
  <c r="V26" i="74"/>
  <c r="R26" i="74"/>
  <c r="V42" i="74"/>
  <c r="R42" i="74"/>
  <c r="AB41" i="66"/>
  <c r="AC41" i="66" s="1"/>
  <c r="AB185" i="66"/>
  <c r="AC185" i="66" s="1"/>
  <c r="AB37" i="66"/>
  <c r="AC37" i="66" s="1"/>
  <c r="AB36" i="66"/>
  <c r="AC36" i="66" s="1"/>
  <c r="P179" i="66"/>
  <c r="Q41" i="66"/>
  <c r="W41" i="66" s="1"/>
  <c r="Y41" i="66" s="1"/>
  <c r="S41" i="66"/>
  <c r="U41" i="66" s="1"/>
  <c r="O41" i="66"/>
  <c r="R26" i="66"/>
  <c r="O37" i="66"/>
  <c r="Q37" i="66"/>
  <c r="W37" i="66" s="1"/>
  <c r="Y37" i="66" s="1"/>
  <c r="S37" i="66"/>
  <c r="U37" i="66" s="1"/>
  <c r="S36" i="66"/>
  <c r="U36" i="66" s="1"/>
  <c r="Q36" i="66"/>
  <c r="W36" i="66" s="1"/>
  <c r="Y36" i="66" s="1"/>
  <c r="Z179" i="66"/>
  <c r="P35" i="66"/>
  <c r="AA35" i="66"/>
  <c r="Z35" i="66"/>
  <c r="AA179" i="66"/>
  <c r="R170" i="66"/>
  <c r="B16" i="8"/>
  <c r="S185" i="66"/>
  <c r="U185" i="66" s="1"/>
  <c r="Q185" i="66"/>
  <c r="W185" i="66" s="1"/>
  <c r="Y185" i="66" s="1"/>
  <c r="O185" i="66"/>
  <c r="AA180" i="66"/>
  <c r="M164" i="66"/>
  <c r="O20" i="66" l="1"/>
  <c r="Q20" i="66"/>
  <c r="P180" i="66"/>
  <c r="V180" i="66" s="1"/>
  <c r="S36" i="74"/>
  <c r="U36" i="74" s="1"/>
  <c r="AC36" i="74"/>
  <c r="AD36" i="74" s="1"/>
  <c r="Q36" i="74"/>
  <c r="W36" i="74" s="1"/>
  <c r="Y36" i="74" s="1"/>
  <c r="O36" i="74"/>
  <c r="M20" i="74"/>
  <c r="S20" i="74" s="1"/>
  <c r="U20" i="74" s="1"/>
  <c r="P35" i="74"/>
  <c r="AA35" i="74"/>
  <c r="Z35" i="74"/>
  <c r="AA36" i="66"/>
  <c r="Z180" i="66"/>
  <c r="P36" i="66"/>
  <c r="R36" i="66" s="1"/>
  <c r="O41" i="74"/>
  <c r="Q41" i="74"/>
  <c r="W41" i="74" s="1"/>
  <c r="Y41" i="74" s="1"/>
  <c r="S41" i="74"/>
  <c r="U41" i="74" s="1"/>
  <c r="AC41" i="74"/>
  <c r="AB20" i="66"/>
  <c r="AC20" i="66" s="1"/>
  <c r="Q20" i="74"/>
  <c r="W20" i="74" s="1"/>
  <c r="Y20" i="74" s="1"/>
  <c r="AC20" i="74"/>
  <c r="AD20" i="74" s="1"/>
  <c r="O20" i="74"/>
  <c r="P20" i="74" s="1"/>
  <c r="V37" i="74"/>
  <c r="R37" i="74"/>
  <c r="AB164" i="66"/>
  <c r="AC164" i="66" s="1"/>
  <c r="R179" i="66"/>
  <c r="P185" i="66"/>
  <c r="R185" i="66" s="1"/>
  <c r="Z185" i="66"/>
  <c r="P41" i="66"/>
  <c r="AA185" i="66"/>
  <c r="Z41" i="66"/>
  <c r="AA41" i="66"/>
  <c r="S164" i="66"/>
  <c r="U164" i="66" s="1"/>
  <c r="Q164" i="66"/>
  <c r="O164" i="66"/>
  <c r="P164" i="66" s="1"/>
  <c r="R35" i="66"/>
  <c r="P37" i="66"/>
  <c r="AA181" i="66"/>
  <c r="Z181" i="66"/>
  <c r="Z37" i="66"/>
  <c r="AA37" i="66"/>
  <c r="P181" i="66"/>
  <c r="AD41" i="74" l="1"/>
  <c r="B8" i="75" s="1"/>
  <c r="E8" i="75" s="1"/>
  <c r="B23" i="75"/>
  <c r="E23" i="75" s="1"/>
  <c r="V36" i="66"/>
  <c r="V35" i="74"/>
  <c r="R35" i="74"/>
  <c r="P41" i="74"/>
  <c r="AA41" i="74"/>
  <c r="Z41" i="74"/>
  <c r="R180" i="66"/>
  <c r="P36" i="74"/>
  <c r="Z36" i="74"/>
  <c r="AA36" i="74"/>
  <c r="Z20" i="74"/>
  <c r="AA20" i="74"/>
  <c r="V185" i="66"/>
  <c r="Z20" i="66"/>
  <c r="R164" i="66"/>
  <c r="R37" i="66"/>
  <c r="V37" i="66"/>
  <c r="R41" i="66"/>
  <c r="V41" i="66"/>
  <c r="AA20" i="66"/>
  <c r="V181" i="66"/>
  <c r="R181" i="66"/>
  <c r="Z164" i="66"/>
  <c r="P20" i="66"/>
  <c r="AA164" i="66"/>
  <c r="V36" i="74" l="1"/>
  <c r="R36" i="74"/>
  <c r="R41" i="74"/>
  <c r="V41" i="74"/>
  <c r="R20" i="74"/>
  <c r="V20" i="74"/>
  <c r="R20" i="66"/>
  <c r="H488" i="58" l="1"/>
  <c r="H488" i="37"/>
  <c r="H487" i="58"/>
  <c r="H487" i="37"/>
  <c r="H487" i="41" l="1"/>
  <c r="H488" i="41"/>
  <c r="J6" i="58" l="1"/>
  <c r="H6" i="58"/>
  <c r="I6" i="58"/>
  <c r="I6" i="41" l="1"/>
  <c r="D46" i="39" s="1"/>
  <c r="E108" i="38" s="1"/>
  <c r="G71" i="66"/>
  <c r="G71" i="74" s="1"/>
  <c r="G215" i="66"/>
  <c r="H6" i="41"/>
  <c r="C46" i="39" s="1"/>
  <c r="E91" i="38" s="1"/>
  <c r="G23" i="66"/>
  <c r="G23" i="74" s="1"/>
  <c r="G263" i="66"/>
  <c r="G167" i="66"/>
  <c r="J6" i="41"/>
  <c r="E46" i="39" s="1"/>
  <c r="E125" i="38" s="1"/>
  <c r="G119" i="66"/>
  <c r="G119" i="74" s="1"/>
  <c r="L46" i="39" l="1"/>
  <c r="E159" i="38" s="1"/>
  <c r="M46" i="39"/>
  <c r="E176" i="38" s="1"/>
  <c r="K46" i="39"/>
  <c r="E142" i="38" s="1"/>
  <c r="K119" i="66"/>
  <c r="J467" i="37"/>
  <c r="K23" i="66"/>
  <c r="H467" i="37"/>
  <c r="K71" i="66"/>
  <c r="I467" i="37"/>
  <c r="O71" i="66" l="1"/>
  <c r="O23" i="66"/>
  <c r="O119" i="66"/>
  <c r="K167" i="66"/>
  <c r="O167" i="66" s="1"/>
  <c r="P167" i="66" s="1"/>
  <c r="J467" i="58"/>
  <c r="J467" i="41" s="1"/>
  <c r="K215" i="66"/>
  <c r="F19" i="39" s="1"/>
  <c r="AB71" i="66"/>
  <c r="AC71" i="66" s="1"/>
  <c r="AB23" i="66"/>
  <c r="AC23" i="66" s="1"/>
  <c r="AB119" i="66"/>
  <c r="AC119" i="66" s="1"/>
  <c r="I467" i="58"/>
  <c r="I467" i="41" s="1"/>
  <c r="K263" i="66"/>
  <c r="K119" i="74" s="1"/>
  <c r="H467" i="58"/>
  <c r="H467" i="41" s="1"/>
  <c r="H482" i="37"/>
  <c r="H482" i="58"/>
  <c r="J5" i="58"/>
  <c r="H5" i="58"/>
  <c r="T23" i="66"/>
  <c r="S23" i="66"/>
  <c r="Q23" i="66"/>
  <c r="I5" i="58"/>
  <c r="Q71" i="66"/>
  <c r="T71" i="66"/>
  <c r="Z167" i="66"/>
  <c r="T119" i="66"/>
  <c r="Q119" i="66"/>
  <c r="AA167" i="66" l="1"/>
  <c r="T119" i="74"/>
  <c r="X119" i="74"/>
  <c r="Q119" i="74"/>
  <c r="P23" i="66"/>
  <c r="AB167" i="66"/>
  <c r="AC167" i="66" s="1"/>
  <c r="AA23" i="66"/>
  <c r="T167" i="66"/>
  <c r="Z23" i="66"/>
  <c r="K23" i="74"/>
  <c r="S167" i="66"/>
  <c r="U167" i="66" s="1"/>
  <c r="K71" i="74"/>
  <c r="Q167" i="66"/>
  <c r="O215" i="66"/>
  <c r="P215" i="66" s="1"/>
  <c r="R215" i="66" s="1"/>
  <c r="S215" i="66" s="1"/>
  <c r="U215" i="66" s="1"/>
  <c r="T215" i="66"/>
  <c r="Q215" i="66"/>
  <c r="AB215" i="66"/>
  <c r="AC215" i="66" s="1"/>
  <c r="AB263" i="66"/>
  <c r="AC263" i="66" s="1"/>
  <c r="G19" i="39"/>
  <c r="T263" i="66"/>
  <c r="Q263" i="66"/>
  <c r="O263" i="66"/>
  <c r="P263" i="66" s="1"/>
  <c r="R263" i="66" s="1"/>
  <c r="S263" i="66" s="1"/>
  <c r="H482" i="41"/>
  <c r="H481" i="37"/>
  <c r="H481" i="58"/>
  <c r="J5" i="41"/>
  <c r="M52" i="39" s="1"/>
  <c r="E184" i="38" s="1"/>
  <c r="G117" i="66"/>
  <c r="E30" i="53"/>
  <c r="H483" i="37"/>
  <c r="H483" i="58"/>
  <c r="E36" i="53"/>
  <c r="G261" i="66"/>
  <c r="R23" i="66"/>
  <c r="U23" i="66"/>
  <c r="R167" i="66"/>
  <c r="Z71" i="66"/>
  <c r="G213" i="66"/>
  <c r="E24" i="53"/>
  <c r="Z215" i="66"/>
  <c r="G69" i="66"/>
  <c r="G69" i="74" s="1"/>
  <c r="E18" i="53"/>
  <c r="I5" i="41"/>
  <c r="L52" i="39" s="1"/>
  <c r="E167" i="38" s="1"/>
  <c r="P71" i="66"/>
  <c r="AA71" i="66"/>
  <c r="G165" i="66"/>
  <c r="E12" i="53"/>
  <c r="E6" i="53"/>
  <c r="G21" i="66"/>
  <c r="H5" i="41"/>
  <c r="K52" i="39" s="1"/>
  <c r="E150" i="38" s="1"/>
  <c r="G117" i="74" l="1"/>
  <c r="G21" i="74"/>
  <c r="Q71" i="74"/>
  <c r="X71" i="74"/>
  <c r="T71" i="74"/>
  <c r="S23" i="74"/>
  <c r="U23" i="74" s="1"/>
  <c r="T23" i="74"/>
  <c r="Q23" i="74"/>
  <c r="W23" i="74" s="1"/>
  <c r="X23" i="74"/>
  <c r="O23" i="74"/>
  <c r="P23" i="74" s="1"/>
  <c r="AC23" i="74"/>
  <c r="AD23" i="74" s="1"/>
  <c r="AA215" i="66"/>
  <c r="U263" i="66"/>
  <c r="Z119" i="66"/>
  <c r="AA263" i="66"/>
  <c r="AA119" i="66"/>
  <c r="Z263" i="66"/>
  <c r="P119" i="66"/>
  <c r="R119" i="66" s="1"/>
  <c r="S119" i="66" s="1"/>
  <c r="U119" i="66" s="1"/>
  <c r="E52" i="39"/>
  <c r="E133" i="38" s="1"/>
  <c r="D52" i="39"/>
  <c r="E116" i="38" s="1"/>
  <c r="H483" i="41"/>
  <c r="C52" i="39"/>
  <c r="E99" i="38" s="1"/>
  <c r="D12" i="53"/>
  <c r="F12" i="53" s="1"/>
  <c r="H6" i="53" s="1"/>
  <c r="K165" i="66"/>
  <c r="H470" i="58"/>
  <c r="H481" i="41"/>
  <c r="R71" i="66"/>
  <c r="S71" i="66" s="1"/>
  <c r="U71" i="66" s="1"/>
  <c r="D36" i="53"/>
  <c r="F36" i="53" s="1"/>
  <c r="H30" i="53" s="1"/>
  <c r="K261" i="66"/>
  <c r="J470" i="58"/>
  <c r="D24" i="53"/>
  <c r="F24" i="53" s="1"/>
  <c r="H18" i="53" s="1"/>
  <c r="K213" i="66"/>
  <c r="I470" i="58"/>
  <c r="AA23" i="74" l="1"/>
  <c r="Y23" i="74"/>
  <c r="Z23" i="74"/>
  <c r="D30" i="53"/>
  <c r="F30" i="53" s="1"/>
  <c r="H36" i="53" s="1"/>
  <c r="G36" i="53" s="1"/>
  <c r="V23" i="74"/>
  <c r="R23" i="74"/>
  <c r="K69" i="66"/>
  <c r="J470" i="37"/>
  <c r="J470" i="41" s="1"/>
  <c r="K117" i="66"/>
  <c r="K117" i="74" s="1"/>
  <c r="I470" i="37"/>
  <c r="I470" i="41" s="1"/>
  <c r="D18" i="53"/>
  <c r="F18" i="53" s="1"/>
  <c r="H24" i="53" s="1"/>
  <c r="G24" i="53" s="1"/>
  <c r="T165" i="66"/>
  <c r="T213" i="66"/>
  <c r="D6" i="53"/>
  <c r="F6" i="53" s="1"/>
  <c r="K21" i="66"/>
  <c r="K21" i="74" s="1"/>
  <c r="T21" i="74" s="1"/>
  <c r="H470" i="37"/>
  <c r="H470" i="41" s="1"/>
  <c r="T261" i="66"/>
  <c r="T69" i="66" l="1"/>
  <c r="K69" i="74"/>
  <c r="X69" i="74" s="1"/>
  <c r="X21" i="74"/>
  <c r="G30" i="53"/>
  <c r="E336" i="38" s="1"/>
  <c r="X117" i="74"/>
  <c r="T117" i="74"/>
  <c r="E342" i="38"/>
  <c r="E348" i="38"/>
  <c r="E330" i="38"/>
  <c r="E318" i="38"/>
  <c r="E324" i="38"/>
  <c r="T117" i="66"/>
  <c r="G18" i="53"/>
  <c r="T21" i="66"/>
  <c r="H12" i="53"/>
  <c r="G12" i="53" s="1"/>
  <c r="G6" i="53"/>
  <c r="T69" i="74" l="1"/>
  <c r="N213" i="66"/>
  <c r="N261" i="66"/>
  <c r="E294" i="38"/>
  <c r="E300" i="38"/>
  <c r="E306" i="38"/>
  <c r="E312" i="38"/>
  <c r="E282" i="38"/>
  <c r="E288" i="38"/>
  <c r="M261" i="66"/>
  <c r="J485" i="58"/>
  <c r="M213" i="66"/>
  <c r="I485" i="58"/>
  <c r="M117" i="66"/>
  <c r="M117" i="74" s="1"/>
  <c r="J485" i="37"/>
  <c r="N117" i="66"/>
  <c r="D19" i="8"/>
  <c r="G25" i="39" l="1"/>
  <c r="N117" i="74"/>
  <c r="O117" i="74" s="1"/>
  <c r="P117" i="74" s="1"/>
  <c r="Q117" i="74"/>
  <c r="N69" i="66"/>
  <c r="N165" i="66"/>
  <c r="I485" i="37"/>
  <c r="I485" i="41" s="1"/>
  <c r="AB117" i="66"/>
  <c r="AC117" i="66" s="1"/>
  <c r="AB213" i="66"/>
  <c r="AC213" i="66" s="1"/>
  <c r="AB261" i="66"/>
  <c r="AC261" i="66" s="1"/>
  <c r="C19" i="8"/>
  <c r="M69" i="66"/>
  <c r="M69" i="74" s="1"/>
  <c r="J485" i="41"/>
  <c r="N21" i="66"/>
  <c r="N21" i="74" s="1"/>
  <c r="B19" i="8"/>
  <c r="M21" i="66"/>
  <c r="M21" i="74" s="1"/>
  <c r="H485" i="37"/>
  <c r="O117" i="66"/>
  <c r="Q117" i="66"/>
  <c r="Q213" i="66"/>
  <c r="O213" i="66"/>
  <c r="M165" i="66"/>
  <c r="H485" i="58"/>
  <c r="Q261" i="66"/>
  <c r="O261" i="66"/>
  <c r="O21" i="74" l="1"/>
  <c r="P21" i="74" s="1"/>
  <c r="AC21" i="74"/>
  <c r="AD21" i="74" s="1"/>
  <c r="Q21" i="74"/>
  <c r="W21" i="74" s="1"/>
  <c r="Y21" i="74" s="1"/>
  <c r="F25" i="39"/>
  <c r="N69" i="74"/>
  <c r="O69" i="74" s="1"/>
  <c r="P69" i="74" s="1"/>
  <c r="S21" i="74"/>
  <c r="U21" i="74" s="1"/>
  <c r="AC117" i="74"/>
  <c r="AD117" i="74" s="1"/>
  <c r="Q69" i="74"/>
  <c r="Z117" i="74"/>
  <c r="AA117" i="74"/>
  <c r="Z21" i="74"/>
  <c r="AA21" i="74"/>
  <c r="AB21" i="66"/>
  <c r="AC21" i="66" s="1"/>
  <c r="AB69" i="66"/>
  <c r="AC69" i="66" s="1"/>
  <c r="AB165" i="66"/>
  <c r="AC165" i="66" s="1"/>
  <c r="Q69" i="66"/>
  <c r="O69" i="66"/>
  <c r="H485" i="41"/>
  <c r="P261" i="66"/>
  <c r="O165" i="66"/>
  <c r="Q165" i="66"/>
  <c r="S165" i="66"/>
  <c r="U165" i="66" s="1"/>
  <c r="AA117" i="66"/>
  <c r="Z117" i="66"/>
  <c r="P117" i="66"/>
  <c r="AA261" i="66"/>
  <c r="Z261" i="66"/>
  <c r="Q21" i="66"/>
  <c r="S21" i="66"/>
  <c r="U21" i="66" s="1"/>
  <c r="O21" i="66"/>
  <c r="AC69" i="74" l="1"/>
  <c r="AD69" i="74" s="1"/>
  <c r="V117" i="74"/>
  <c r="W117" i="74"/>
  <c r="Y117" i="74" s="1"/>
  <c r="R117" i="74"/>
  <c r="S117" i="74" s="1"/>
  <c r="U117" i="74" s="1"/>
  <c r="AA69" i="74"/>
  <c r="Z69" i="74"/>
  <c r="V21" i="74"/>
  <c r="R21" i="74"/>
  <c r="AA69" i="66"/>
  <c r="Z213" i="66"/>
  <c r="AA213" i="66"/>
  <c r="Z69" i="66"/>
  <c r="P213" i="66"/>
  <c r="P69" i="66"/>
  <c r="P165" i="66"/>
  <c r="Z165" i="66"/>
  <c r="AA165" i="66"/>
  <c r="AA21" i="66"/>
  <c r="Z21" i="66"/>
  <c r="P21" i="66"/>
  <c r="R117" i="66"/>
  <c r="S117" i="66" s="1"/>
  <c r="U117" i="66" s="1"/>
  <c r="R261" i="66"/>
  <c r="S261" i="66" s="1"/>
  <c r="U261" i="66" s="1"/>
  <c r="V69" i="74" l="1"/>
  <c r="W69" i="74"/>
  <c r="Y69" i="74" s="1"/>
  <c r="R69" i="74"/>
  <c r="S69" i="74" s="1"/>
  <c r="U69" i="74" s="1"/>
  <c r="R213" i="66"/>
  <c r="S213" i="66" s="1"/>
  <c r="U213" i="66" s="1"/>
  <c r="R69" i="66"/>
  <c r="S69" i="66" s="1"/>
  <c r="U69" i="66" s="1"/>
  <c r="R21" i="66"/>
  <c r="R165" i="66"/>
  <c r="X146" i="66" l="1"/>
  <c r="X194" i="66"/>
  <c r="X242" i="66"/>
  <c r="X50" i="66"/>
  <c r="X290" i="66"/>
  <c r="X98" i="66"/>
  <c r="X186" i="66"/>
  <c r="V186" i="66"/>
  <c r="X42" i="66"/>
  <c r="W186" i="66"/>
  <c r="V42" i="66"/>
  <c r="W42" i="66"/>
  <c r="X17" i="66"/>
  <c r="X161" i="66"/>
  <c r="W17" i="66"/>
  <c r="W161" i="66"/>
  <c r="V161" i="66"/>
  <c r="V17" i="66"/>
  <c r="X87" i="66"/>
  <c r="X231" i="66"/>
  <c r="X183" i="66"/>
  <c r="V183" i="66"/>
  <c r="X279" i="66"/>
  <c r="W39" i="66"/>
  <c r="X39" i="66"/>
  <c r="X135" i="66"/>
  <c r="V87" i="66"/>
  <c r="V279" i="66"/>
  <c r="W87" i="66"/>
  <c r="W183" i="66"/>
  <c r="V135" i="66"/>
  <c r="W135" i="66"/>
  <c r="V39" i="66"/>
  <c r="W231" i="66"/>
  <c r="V231" i="66"/>
  <c r="W279" i="66"/>
  <c r="X112" i="66"/>
  <c r="W256" i="66"/>
  <c r="X256" i="66"/>
  <c r="W64" i="66"/>
  <c r="V160" i="66"/>
  <c r="X64" i="66"/>
  <c r="V256" i="66"/>
  <c r="W208" i="66"/>
  <c r="X160" i="66"/>
  <c r="V64" i="66"/>
  <c r="X208" i="66"/>
  <c r="X16" i="66"/>
  <c r="V16" i="66"/>
  <c r="W160" i="66"/>
  <c r="W16" i="66"/>
  <c r="W112" i="66"/>
  <c r="V208" i="66"/>
  <c r="V112" i="66"/>
  <c r="X88" i="66"/>
  <c r="W136" i="66"/>
  <c r="X136" i="66"/>
  <c r="W184" i="66"/>
  <c r="X280" i="66"/>
  <c r="V40" i="66"/>
  <c r="X232" i="66"/>
  <c r="W40" i="66"/>
  <c r="X40" i="66"/>
  <c r="W280" i="66"/>
  <c r="X184" i="66"/>
  <c r="V232" i="66"/>
  <c r="V88" i="66"/>
  <c r="V280" i="66"/>
  <c r="W232" i="66"/>
  <c r="V136" i="66"/>
  <c r="V184" i="66"/>
  <c r="W88" i="66"/>
  <c r="X275" i="66"/>
  <c r="X35" i="66"/>
  <c r="X227" i="66"/>
  <c r="X83" i="66"/>
  <c r="X179" i="66"/>
  <c r="X131" i="66"/>
  <c r="W179" i="66"/>
  <c r="W35" i="66"/>
  <c r="V179" i="66"/>
  <c r="V35" i="66"/>
  <c r="X204" i="66"/>
  <c r="X156" i="66"/>
  <c r="X12" i="66"/>
  <c r="X108" i="66"/>
  <c r="X252" i="66"/>
  <c r="X60" i="66"/>
  <c r="W156" i="66"/>
  <c r="W12" i="66"/>
  <c r="V156" i="66"/>
  <c r="V12" i="66"/>
  <c r="V204" i="66"/>
  <c r="W204" i="66"/>
  <c r="W60" i="66"/>
  <c r="V60" i="66"/>
  <c r="W252" i="66"/>
  <c r="V252" i="66"/>
  <c r="V108" i="66"/>
  <c r="W108" i="66"/>
  <c r="X170" i="66"/>
  <c r="X26" i="66"/>
  <c r="W170" i="66"/>
  <c r="W26" i="66"/>
  <c r="V170" i="66"/>
  <c r="V26" i="66"/>
  <c r="X58" i="66"/>
  <c r="X106" i="66"/>
  <c r="X202" i="66"/>
  <c r="X250" i="66"/>
  <c r="X10" i="66"/>
  <c r="W10" i="66"/>
  <c r="X154" i="66"/>
  <c r="W154" i="66"/>
  <c r="V154" i="66"/>
  <c r="V10" i="66"/>
  <c r="W202" i="66"/>
  <c r="V202" i="66"/>
  <c r="W250" i="66"/>
  <c r="V250" i="66"/>
  <c r="V58" i="66"/>
  <c r="W58" i="66"/>
  <c r="V106" i="66"/>
  <c r="W106" i="66"/>
  <c r="X80" i="66"/>
  <c r="X224" i="66"/>
  <c r="X32" i="66"/>
  <c r="X272" i="66"/>
  <c r="X128" i="66"/>
  <c r="W32" i="66"/>
  <c r="X176" i="66"/>
  <c r="W176" i="66"/>
  <c r="V32" i="66"/>
  <c r="V176" i="66"/>
  <c r="W272" i="66"/>
  <c r="W128" i="66"/>
  <c r="V128" i="66"/>
  <c r="V272" i="66"/>
  <c r="W80" i="66"/>
  <c r="W224" i="66"/>
  <c r="V224" i="66"/>
  <c r="V80" i="66"/>
  <c r="X9" i="66"/>
  <c r="X105" i="66"/>
  <c r="X153" i="66"/>
  <c r="X201" i="66"/>
  <c r="X57" i="66"/>
  <c r="X249" i="66"/>
  <c r="W9" i="66"/>
  <c r="W153" i="66"/>
  <c r="V201" i="66"/>
  <c r="W57" i="66"/>
  <c r="V249" i="66"/>
  <c r="W249" i="66"/>
  <c r="V153" i="66"/>
  <c r="V57" i="66"/>
  <c r="V9" i="66"/>
  <c r="W201" i="66"/>
  <c r="V105" i="66"/>
  <c r="W105" i="66"/>
  <c r="X30" i="66"/>
  <c r="W30" i="66"/>
  <c r="X174" i="66"/>
  <c r="V30" i="66"/>
  <c r="W174" i="66"/>
  <c r="V174" i="66"/>
  <c r="X172" i="66"/>
  <c r="X124" i="66"/>
  <c r="X268" i="66"/>
  <c r="X76" i="66"/>
  <c r="X220" i="66"/>
  <c r="W172" i="66"/>
  <c r="X28" i="66"/>
  <c r="W28" i="66"/>
  <c r="V172" i="66"/>
  <c r="V28" i="66"/>
  <c r="V76" i="66"/>
  <c r="W76" i="66"/>
  <c r="W268" i="66"/>
  <c r="V268" i="66"/>
  <c r="V220" i="66"/>
  <c r="W220" i="66"/>
  <c r="W124" i="66"/>
  <c r="V124" i="66"/>
  <c r="X5" i="66"/>
  <c r="V149" i="66"/>
  <c r="V53" i="66"/>
  <c r="X53" i="66"/>
  <c r="X101" i="66"/>
  <c r="X245" i="66"/>
  <c r="X149" i="66"/>
  <c r="X197" i="66"/>
  <c r="V5" i="66"/>
  <c r="W245" i="66"/>
  <c r="V101" i="66"/>
  <c r="W53" i="66"/>
  <c r="V245" i="66"/>
  <c r="W101" i="66"/>
  <c r="W149" i="66"/>
  <c r="W197" i="66"/>
  <c r="V197" i="66"/>
  <c r="W5" i="66"/>
  <c r="V265" i="66"/>
  <c r="W73" i="66"/>
  <c r="V73" i="66"/>
  <c r="W265" i="66"/>
  <c r="V25" i="66"/>
  <c r="W217" i="66"/>
  <c r="V121" i="66"/>
  <c r="W25" i="66"/>
  <c r="V169" i="66"/>
  <c r="W121" i="66"/>
  <c r="V217" i="66"/>
  <c r="W169" i="66"/>
  <c r="X217" i="66"/>
  <c r="X121" i="66"/>
  <c r="X169" i="66"/>
  <c r="X73" i="66"/>
  <c r="X265" i="66"/>
  <c r="X25" i="66"/>
  <c r="X96" i="66"/>
  <c r="X144" i="66"/>
  <c r="X288" i="66"/>
  <c r="X48" i="66"/>
  <c r="X192" i="66"/>
  <c r="W48" i="66"/>
  <c r="W192" i="66"/>
  <c r="X240" i="66"/>
  <c r="V192" i="66"/>
  <c r="V48" i="66"/>
  <c r="W288" i="66"/>
  <c r="V144" i="66"/>
  <c r="W144" i="66"/>
  <c r="V288" i="66"/>
  <c r="W240" i="66"/>
  <c r="V96" i="66"/>
  <c r="W96" i="66"/>
  <c r="V240" i="66"/>
  <c r="X263" i="66"/>
  <c r="X23" i="66"/>
  <c r="X167" i="66"/>
  <c r="X119" i="66"/>
  <c r="X215" i="66"/>
  <c r="X71" i="66"/>
  <c r="W167" i="66"/>
  <c r="V215" i="66"/>
  <c r="V23" i="66"/>
  <c r="W23" i="66"/>
  <c r="W263" i="66"/>
  <c r="V263" i="66"/>
  <c r="V167" i="66"/>
  <c r="W215" i="66"/>
  <c r="W71" i="66"/>
  <c r="V71" i="66"/>
  <c r="V119" i="66"/>
  <c r="W119" i="66"/>
  <c r="X238" i="66"/>
  <c r="X94" i="66"/>
  <c r="X286" i="66"/>
  <c r="X142" i="66"/>
  <c r="X46" i="66"/>
  <c r="X190" i="66"/>
  <c r="W190" i="66"/>
  <c r="W46" i="66"/>
  <c r="V46" i="66"/>
  <c r="V190" i="66"/>
  <c r="W94" i="66"/>
  <c r="V94" i="66"/>
  <c r="W238" i="66"/>
  <c r="V238" i="66"/>
  <c r="W142" i="66"/>
  <c r="V286" i="66"/>
  <c r="V142" i="66"/>
  <c r="W286" i="66"/>
  <c r="X165" i="66"/>
  <c r="X261" i="66"/>
  <c r="X213" i="66"/>
  <c r="X69" i="66"/>
  <c r="X117" i="66"/>
  <c r="X21" i="66"/>
  <c r="W21" i="66"/>
  <c r="V261" i="66"/>
  <c r="W165" i="66"/>
  <c r="W261" i="66"/>
  <c r="W117" i="66"/>
  <c r="V117" i="66"/>
  <c r="W213" i="66"/>
  <c r="V165" i="66"/>
  <c r="V69" i="66"/>
  <c r="V21" i="66"/>
  <c r="W69" i="66"/>
  <c r="V213" i="66"/>
  <c r="X141" i="66"/>
  <c r="X93" i="66"/>
  <c r="X285" i="66"/>
  <c r="X237" i="66"/>
  <c r="V237" i="66"/>
  <c r="W237" i="66"/>
  <c r="V93" i="66"/>
  <c r="W93" i="66"/>
  <c r="V141" i="66"/>
  <c r="W141" i="66"/>
  <c r="W285" i="66"/>
  <c r="V285" i="66"/>
  <c r="X45" i="66"/>
  <c r="X189" i="66"/>
  <c r="W45" i="66"/>
  <c r="W189" i="66"/>
  <c r="V189" i="66"/>
  <c r="V45" i="66"/>
  <c r="X20" i="66"/>
  <c r="X164" i="66"/>
  <c r="W20" i="66"/>
  <c r="W164" i="66"/>
  <c r="V164" i="66"/>
  <c r="V20" i="66"/>
  <c r="Y238" i="66" l="1"/>
  <c r="Y201" i="66"/>
  <c r="Y288" i="66"/>
  <c r="Y124" i="66"/>
  <c r="Y69" i="66"/>
  <c r="Y285" i="66"/>
  <c r="Y237" i="66"/>
  <c r="Y286" i="66"/>
  <c r="Y105" i="66"/>
  <c r="Y106" i="66"/>
  <c r="Y108" i="66"/>
  <c r="Y232" i="66"/>
  <c r="Y161" i="66"/>
  <c r="Y32" i="66"/>
  <c r="Y261" i="66"/>
  <c r="Y23" i="66"/>
  <c r="Y197" i="66"/>
  <c r="Y30" i="66"/>
  <c r="Y40" i="66"/>
  <c r="Y256" i="66"/>
  <c r="Y128" i="66"/>
  <c r="Y279" i="66"/>
  <c r="Y28" i="66"/>
  <c r="Y119" i="66"/>
  <c r="Y121" i="66"/>
  <c r="Y53" i="66"/>
  <c r="Y272" i="66"/>
  <c r="Y231" i="66"/>
  <c r="Y48" i="66"/>
  <c r="Y154" i="66"/>
  <c r="Y10" i="66"/>
  <c r="Y215" i="66"/>
  <c r="Y76" i="66"/>
  <c r="Y249" i="66"/>
  <c r="Y117" i="66"/>
  <c r="Y57" i="66"/>
  <c r="Y153" i="66"/>
  <c r="Y160" i="66"/>
  <c r="Y20" i="66"/>
  <c r="Y217" i="66"/>
  <c r="Y172" i="66"/>
  <c r="Y88" i="66"/>
  <c r="Y39" i="66"/>
  <c r="Y94" i="66"/>
  <c r="Y141" i="66"/>
  <c r="Y265" i="66"/>
  <c r="Y220" i="66"/>
  <c r="Y174" i="66"/>
  <c r="Y58" i="66"/>
  <c r="Y26" i="66"/>
  <c r="Y184" i="66"/>
  <c r="Y93" i="66"/>
  <c r="Y176" i="66"/>
  <c r="Y35" i="66"/>
  <c r="Y136" i="66"/>
  <c r="Y135" i="66"/>
  <c r="Y169" i="66"/>
  <c r="Y5" i="66"/>
  <c r="Y204" i="66"/>
  <c r="Y183" i="66"/>
  <c r="Y17" i="66"/>
  <c r="Y42" i="66"/>
  <c r="Y263" i="66"/>
  <c r="Y96" i="66"/>
  <c r="Y202" i="66"/>
  <c r="Y170" i="66"/>
  <c r="Y87" i="66"/>
  <c r="Y189" i="66"/>
  <c r="Y224" i="66"/>
  <c r="Y112" i="66"/>
  <c r="Y45" i="66"/>
  <c r="Y165" i="66"/>
  <c r="Y149" i="66"/>
  <c r="Y80" i="66"/>
  <c r="Y245" i="66"/>
  <c r="Y71" i="66"/>
  <c r="Y252" i="66"/>
  <c r="Y46" i="66"/>
  <c r="Y73" i="66"/>
  <c r="Y208" i="66"/>
  <c r="Y213" i="66"/>
  <c r="Y190" i="66"/>
  <c r="Y192" i="66"/>
  <c r="Y268" i="66"/>
  <c r="Y250" i="66"/>
  <c r="Y60" i="66"/>
  <c r="Y179" i="66"/>
  <c r="Y280" i="66"/>
  <c r="Y64" i="66"/>
  <c r="Y186" i="66"/>
  <c r="Y164" i="66"/>
  <c r="Y142" i="66"/>
  <c r="Y240" i="66"/>
  <c r="Y16" i="66"/>
  <c r="Y25" i="66"/>
  <c r="Y101" i="66"/>
  <c r="Y12" i="66"/>
  <c r="Y21" i="66"/>
  <c r="Y167" i="66"/>
  <c r="Y144" i="66"/>
  <c r="Y9" i="66"/>
  <c r="Y156" i="66"/>
  <c r="C8" i="63" l="1"/>
  <c r="C2" i="63"/>
  <c r="E287" i="38" l="1"/>
  <c r="G51" i="66" l="1"/>
  <c r="E5" i="53"/>
  <c r="F5" i="53" s="1"/>
  <c r="G50" i="66"/>
  <c r="H11" i="53" l="1"/>
  <c r="M291" i="66" l="1"/>
  <c r="M195" i="66"/>
  <c r="M51" i="74" s="1"/>
  <c r="M243" i="66"/>
  <c r="M99" i="66"/>
  <c r="M99" i="74" s="1"/>
  <c r="M147" i="66"/>
  <c r="M147" i="74" s="1"/>
  <c r="Q291" i="66" l="1"/>
  <c r="W291" i="66" s="1"/>
  <c r="Y291" i="66" s="1"/>
  <c r="S291" i="66"/>
  <c r="U291" i="66" s="1"/>
  <c r="N242" i="66"/>
  <c r="N98" i="66"/>
  <c r="N98" i="74" s="1"/>
  <c r="N194" i="66"/>
  <c r="N50" i="66"/>
  <c r="N50" i="74" s="1"/>
  <c r="N51" i="66"/>
  <c r="Q147" i="66"/>
  <c r="W147" i="66" s="1"/>
  <c r="Y147" i="66" s="1"/>
  <c r="S147" i="66"/>
  <c r="U147" i="66" s="1"/>
  <c r="Q99" i="66"/>
  <c r="W99" i="66" s="1"/>
  <c r="Y99" i="66" s="1"/>
  <c r="S99" i="66"/>
  <c r="U99" i="66" s="1"/>
  <c r="Q243" i="66"/>
  <c r="W243" i="66" s="1"/>
  <c r="Y243" i="66" s="1"/>
  <c r="S243" i="66"/>
  <c r="U243" i="66" s="1"/>
  <c r="Q195" i="66"/>
  <c r="W195" i="66" s="1"/>
  <c r="Y195" i="66" s="1"/>
  <c r="S195" i="66"/>
  <c r="U195" i="66" s="1"/>
  <c r="AB51" i="66" l="1"/>
  <c r="AC51" i="66" s="1"/>
  <c r="O51" i="66"/>
  <c r="X8" i="74" l="1"/>
  <c r="T8" i="74"/>
  <c r="X7" i="74" l="1"/>
  <c r="T7" i="74"/>
  <c r="U7" i="74" s="1"/>
  <c r="S8" i="74"/>
  <c r="U8" i="74" s="1"/>
  <c r="Q8" i="74"/>
  <c r="W8" i="74" s="1"/>
  <c r="Y8" i="74" s="1"/>
  <c r="X146" i="74" l="1"/>
  <c r="T146" i="74"/>
  <c r="X147" i="74"/>
  <c r="T147" i="74"/>
  <c r="X98" i="74"/>
  <c r="T98" i="74"/>
  <c r="X50" i="74"/>
  <c r="T50" i="74"/>
  <c r="X99" i="74" l="1"/>
  <c r="T99" i="74"/>
  <c r="Q147" i="74"/>
  <c r="W147" i="74" s="1"/>
  <c r="Y147" i="74" s="1"/>
  <c r="S147" i="74"/>
  <c r="U147" i="74" s="1"/>
  <c r="X51" i="74"/>
  <c r="T51" i="74"/>
  <c r="Q99" i="74" l="1"/>
  <c r="W99" i="74" s="1"/>
  <c r="Y99" i="74" s="1"/>
  <c r="Q51" i="74"/>
  <c r="W51" i="74" s="1"/>
  <c r="Y51" i="74" s="1"/>
  <c r="S99" i="74"/>
  <c r="U99" i="74" s="1"/>
  <c r="S51" i="74"/>
  <c r="U51" i="74" s="1"/>
  <c r="O26" i="9" l="1" a="1"/>
  <c r="O26" i="9" s="1"/>
  <c r="Q19" i="20" s="1"/>
  <c r="O28" i="9" a="1"/>
  <c r="O28" i="9" s="1"/>
  <c r="Q36" i="9" a="1"/>
  <c r="Q36" i="9" s="1"/>
  <c r="O36" i="9" a="1"/>
  <c r="O36" i="9" s="1"/>
  <c r="H39" i="20" s="1"/>
  <c r="O38" i="9" a="1"/>
  <c r="O38" i="9" s="1"/>
  <c r="E75" i="22" s="1"/>
  <c r="Q28" i="9" a="1"/>
  <c r="Q28" i="9" s="1"/>
  <c r="R28" i="9" a="1"/>
  <c r="R28" i="9" s="1"/>
  <c r="R38" i="9" a="1"/>
  <c r="R38" i="9" s="1"/>
  <c r="E90" i="22" s="1"/>
  <c r="Q9" i="20" l="1"/>
  <c r="Q10" i="20"/>
  <c r="H35" i="20"/>
  <c r="Q8" i="20"/>
  <c r="H41" i="20"/>
  <c r="H17" i="20"/>
  <c r="H11" i="20"/>
  <c r="H8" i="20"/>
  <c r="H18" i="20"/>
  <c r="H12" i="20"/>
  <c r="H14" i="20"/>
  <c r="H10" i="20"/>
  <c r="H13" i="20"/>
  <c r="Q7" i="20"/>
  <c r="E40" i="22"/>
  <c r="R8" i="9"/>
  <c r="E45" i="22"/>
  <c r="O30" i="9"/>
  <c r="O8" i="9"/>
  <c r="E30" i="22"/>
  <c r="J44" i="20"/>
  <c r="S44" i="20"/>
  <c r="Q38" i="20"/>
  <c r="Q35" i="20"/>
  <c r="H37" i="20"/>
  <c r="H46" i="20"/>
  <c r="J43" i="20"/>
  <c r="J35" i="20"/>
  <c r="Q15" i="20"/>
  <c r="Q18" i="20"/>
  <c r="O6" i="9"/>
  <c r="Q6" i="20"/>
  <c r="H40" i="20"/>
  <c r="H43" i="20"/>
  <c r="J45" i="20"/>
  <c r="J41" i="20"/>
  <c r="H9" i="20"/>
  <c r="Q12" i="20"/>
  <c r="J33" i="20"/>
  <c r="S45" i="20"/>
  <c r="H36" i="20"/>
  <c r="S38" i="20"/>
  <c r="S43" i="20"/>
  <c r="Q40" i="20"/>
  <c r="J34" i="20"/>
  <c r="H19" i="20"/>
  <c r="Q13" i="20"/>
  <c r="S33" i="20"/>
  <c r="Q45" i="20"/>
  <c r="Q39" i="20"/>
  <c r="S42" i="20"/>
  <c r="Q46" i="20"/>
  <c r="H44" i="20"/>
  <c r="O40" i="9"/>
  <c r="S40" i="20"/>
  <c r="J37" i="20"/>
  <c r="E28" i="22"/>
  <c r="Q16" i="20"/>
  <c r="Q11" i="20"/>
  <c r="R36" i="9" a="1"/>
  <c r="R36" i="9" s="1"/>
  <c r="S41" i="20"/>
  <c r="E73" i="22"/>
  <c r="S34" i="20"/>
  <c r="H42" i="20"/>
  <c r="Q38" i="9" a="1"/>
  <c r="Q38" i="9" s="1"/>
  <c r="E85" i="22" s="1"/>
  <c r="H38" i="20"/>
  <c r="Q41" i="20"/>
  <c r="J42" i="20"/>
  <c r="J38" i="20"/>
  <c r="J39" i="20"/>
  <c r="H7" i="20"/>
  <c r="H16" i="20"/>
  <c r="Q17" i="20"/>
  <c r="Q33" i="20"/>
  <c r="Q42" i="20"/>
  <c r="S39" i="20"/>
  <c r="J36" i="20"/>
  <c r="S35" i="20"/>
  <c r="H33" i="20"/>
  <c r="H45" i="20"/>
  <c r="Q26" i="9" a="1"/>
  <c r="Q26" i="9" s="1"/>
  <c r="Q34" i="20"/>
  <c r="Q36" i="20"/>
  <c r="Q44" i="20"/>
  <c r="S46" i="20"/>
  <c r="E83" i="22"/>
  <c r="J46" i="20"/>
  <c r="Q14" i="20"/>
  <c r="R26" i="9" a="1"/>
  <c r="R26" i="9" s="1"/>
  <c r="S36" i="20"/>
  <c r="H34" i="20"/>
  <c r="S37" i="20"/>
  <c r="H6" i="20"/>
  <c r="Q37" i="20"/>
  <c r="Q43" i="20"/>
  <c r="J40" i="20"/>
  <c r="H15" i="20"/>
  <c r="R6" i="9" l="1"/>
  <c r="T6" i="20"/>
  <c r="K12" i="20"/>
  <c r="T12" i="20"/>
  <c r="T19" i="20"/>
  <c r="T18" i="20"/>
  <c r="T8" i="20"/>
  <c r="T13" i="20"/>
  <c r="T17" i="20"/>
  <c r="T7" i="20"/>
  <c r="K18" i="20"/>
  <c r="K15" i="20"/>
  <c r="T9" i="20"/>
  <c r="K11" i="20"/>
  <c r="K10" i="20"/>
  <c r="K6" i="20"/>
  <c r="R30" i="9"/>
  <c r="K9" i="20"/>
  <c r="K7" i="20"/>
  <c r="K17" i="20"/>
  <c r="T11" i="20"/>
  <c r="T10" i="20"/>
  <c r="K16" i="20"/>
  <c r="K14" i="20"/>
  <c r="K8" i="20"/>
  <c r="T16" i="20"/>
  <c r="K13" i="20"/>
  <c r="K19" i="20"/>
  <c r="E43" i="22"/>
  <c r="T14" i="20"/>
  <c r="T15" i="20"/>
  <c r="N36" i="9" a="1"/>
  <c r="N36" i="9" s="1"/>
  <c r="N28" i="9" a="1"/>
  <c r="N28" i="9" s="1"/>
  <c r="N26" i="9" a="1"/>
  <c r="N26" i="9" s="1"/>
  <c r="N38" i="9" a="1"/>
  <c r="N38" i="9" s="1"/>
  <c r="E70" i="22" s="1"/>
  <c r="I147" i="35" a="1"/>
  <c r="I147" i="35" s="1"/>
  <c r="I151" i="35" a="1"/>
  <c r="I151" i="35" s="1"/>
  <c r="I149" i="35" a="1"/>
  <c r="I149" i="35" s="1"/>
  <c r="I143" i="35" a="1"/>
  <c r="I143" i="35" s="1"/>
  <c r="I146" i="35" a="1"/>
  <c r="I146" i="35" s="1"/>
  <c r="I154" i="35" a="1"/>
  <c r="I154" i="35" s="1"/>
  <c r="I155" i="35" a="1"/>
  <c r="I155" i="35" s="1"/>
  <c r="I156" i="35" a="1"/>
  <c r="I156" i="35" s="1"/>
  <c r="I150" i="35" a="1"/>
  <c r="I150" i="35" s="1"/>
  <c r="I144" i="35" a="1"/>
  <c r="I144" i="35" s="1"/>
  <c r="I152" i="35" a="1"/>
  <c r="I152" i="35" s="1"/>
  <c r="I148" i="35" a="1"/>
  <c r="I148" i="35" s="1"/>
  <c r="I145" i="35" a="1"/>
  <c r="I145" i="35" s="1"/>
  <c r="I153" i="35" a="1"/>
  <c r="I153" i="35" s="1"/>
  <c r="G409" i="18" a="1"/>
  <c r="G409" i="18" s="1"/>
  <c r="G421" i="18" a="1"/>
  <c r="G421" i="18" s="1"/>
  <c r="G412" i="18" a="1"/>
  <c r="G412" i="18" s="1"/>
  <c r="G413" i="18" a="1"/>
  <c r="G413" i="18" s="1"/>
  <c r="G418" i="18" a="1"/>
  <c r="G418" i="18" s="1"/>
  <c r="G417" i="18" a="1"/>
  <c r="G417" i="18" s="1"/>
  <c r="G416" i="18" a="1"/>
  <c r="G416" i="18" s="1"/>
  <c r="G420" i="18" a="1"/>
  <c r="G420" i="18" s="1"/>
  <c r="G411" i="18" a="1"/>
  <c r="G411" i="18" s="1"/>
  <c r="G415" i="18" a="1"/>
  <c r="G415" i="18" s="1"/>
  <c r="G408" i="18" a="1"/>
  <c r="G408" i="18" s="1"/>
  <c r="G410" i="18" a="1"/>
  <c r="G410" i="18" s="1"/>
  <c r="G419" i="18" a="1"/>
  <c r="G419" i="18" s="1"/>
  <c r="G414" i="18" a="1"/>
  <c r="G414" i="18" s="1"/>
  <c r="S47" i="20"/>
  <c r="H31" i="35" a="1"/>
  <c r="H31" i="35" s="1"/>
  <c r="H39" i="35" a="1"/>
  <c r="H39" i="35" s="1"/>
  <c r="H36" i="35" a="1"/>
  <c r="H36" i="35" s="1"/>
  <c r="H40" i="35" a="1"/>
  <c r="H40" i="35" s="1"/>
  <c r="H42" i="35" a="1"/>
  <c r="H42" i="35" s="1"/>
  <c r="H44" i="35" a="1"/>
  <c r="H44" i="35" s="1"/>
  <c r="H43" i="35" a="1"/>
  <c r="H43" i="35" s="1"/>
  <c r="H34" i="35" a="1"/>
  <c r="H34" i="35" s="1"/>
  <c r="H35" i="35" a="1"/>
  <c r="H35" i="35" s="1"/>
  <c r="H32" i="35" a="1"/>
  <c r="H32" i="35" s="1"/>
  <c r="H41" i="35" a="1"/>
  <c r="H41" i="35" s="1"/>
  <c r="H38" i="35" a="1"/>
  <c r="H38" i="35" s="1"/>
  <c r="H33" i="35" a="1"/>
  <c r="H33" i="35" s="1"/>
  <c r="H37" i="35" a="1"/>
  <c r="H37" i="35" s="1"/>
  <c r="G186" i="18" a="1"/>
  <c r="G186" i="18" s="1"/>
  <c r="G197" i="18" a="1"/>
  <c r="G197" i="18" s="1"/>
  <c r="G189" i="18" a="1"/>
  <c r="G189" i="18" s="1"/>
  <c r="G191" i="18" a="1"/>
  <c r="G191" i="18" s="1"/>
  <c r="H20" i="20"/>
  <c r="G195" i="18" a="1"/>
  <c r="G195" i="18" s="1"/>
  <c r="G192" i="18" a="1"/>
  <c r="G192" i="18" s="1"/>
  <c r="G188" i="18" a="1"/>
  <c r="G188" i="18" s="1"/>
  <c r="G184" i="18" a="1"/>
  <c r="G184" i="18" s="1"/>
  <c r="G185" i="18" a="1"/>
  <c r="G185" i="18" s="1"/>
  <c r="G194" i="18" a="1"/>
  <c r="G194" i="18" s="1"/>
  <c r="G193" i="18" a="1"/>
  <c r="G193" i="18" s="1"/>
  <c r="G196" i="18" a="1"/>
  <c r="G196" i="18" s="1"/>
  <c r="G187" i="18" a="1"/>
  <c r="G187" i="18" s="1"/>
  <c r="G190" i="18" a="1"/>
  <c r="G190" i="18" s="1"/>
  <c r="H123" i="35" a="1"/>
  <c r="H123" i="35" s="1"/>
  <c r="H118" i="35" a="1"/>
  <c r="H118" i="35" s="1"/>
  <c r="H117" i="35" a="1"/>
  <c r="H117" i="35" s="1"/>
  <c r="H125" i="35" a="1"/>
  <c r="H125" i="35" s="1"/>
  <c r="H122" i="35" a="1"/>
  <c r="H122" i="35" s="1"/>
  <c r="H120" i="35" a="1"/>
  <c r="H120" i="35" s="1"/>
  <c r="H128" i="35" a="1"/>
  <c r="H128" i="35" s="1"/>
  <c r="H124" i="35" a="1"/>
  <c r="H124" i="35" s="1"/>
  <c r="H115" i="35" a="1"/>
  <c r="H115" i="35" s="1"/>
  <c r="H119" i="35" a="1"/>
  <c r="H119" i="35" s="1"/>
  <c r="H126" i="35" a="1"/>
  <c r="H126" i="35" s="1"/>
  <c r="H127" i="35" a="1"/>
  <c r="H127" i="35" s="1"/>
  <c r="H121" i="35" a="1"/>
  <c r="H121" i="35" s="1"/>
  <c r="H116" i="35" a="1"/>
  <c r="H116" i="35" s="1"/>
  <c r="G438" i="18" a="1"/>
  <c r="G438" i="18" s="1"/>
  <c r="G441" i="18" a="1"/>
  <c r="G441" i="18" s="1"/>
  <c r="G442" i="18" a="1"/>
  <c r="G442" i="18" s="1"/>
  <c r="G439" i="18" a="1"/>
  <c r="G439" i="18" s="1"/>
  <c r="G448" i="18" a="1"/>
  <c r="G448" i="18" s="1"/>
  <c r="G445" i="18" a="1"/>
  <c r="G445" i="18" s="1"/>
  <c r="G444" i="18" a="1"/>
  <c r="G444" i="18" s="1"/>
  <c r="G436" i="18" a="1"/>
  <c r="G436" i="18" s="1"/>
  <c r="H47" i="20"/>
  <c r="G446" i="18" a="1"/>
  <c r="G446" i="18" s="1"/>
  <c r="G440" i="18" a="1"/>
  <c r="G440" i="18" s="1"/>
  <c r="G449" i="18" a="1"/>
  <c r="G449" i="18" s="1"/>
  <c r="G447" i="18" a="1"/>
  <c r="G447" i="18" s="1"/>
  <c r="G443" i="18" a="1"/>
  <c r="G443" i="18" s="1"/>
  <c r="G437" i="18" a="1"/>
  <c r="G437" i="18" s="1"/>
  <c r="S11" i="20"/>
  <c r="S17" i="20"/>
  <c r="S13" i="20"/>
  <c r="S16" i="20"/>
  <c r="S19" i="20"/>
  <c r="Q6" i="9"/>
  <c r="S9" i="20"/>
  <c r="E38" i="22"/>
  <c r="J14" i="20"/>
  <c r="S8" i="20"/>
  <c r="S10" i="20"/>
  <c r="S18" i="20"/>
  <c r="J12" i="20"/>
  <c r="J16" i="20"/>
  <c r="J17" i="20"/>
  <c r="S12" i="20"/>
  <c r="J11" i="20"/>
  <c r="J18" i="20"/>
  <c r="S6" i="20"/>
  <c r="J7" i="20"/>
  <c r="S14" i="20"/>
  <c r="J10" i="20"/>
  <c r="J15" i="20"/>
  <c r="J19" i="20"/>
  <c r="J6" i="20"/>
  <c r="S15" i="20"/>
  <c r="S7" i="20"/>
  <c r="J13" i="20"/>
  <c r="J9" i="20"/>
  <c r="Q30" i="9"/>
  <c r="J8" i="20"/>
  <c r="H81" i="35" a="1"/>
  <c r="H81" i="35" s="1"/>
  <c r="H82" i="35" a="1"/>
  <c r="H82" i="35" s="1"/>
  <c r="H73" i="35" a="1"/>
  <c r="H73" i="35" s="1"/>
  <c r="H76" i="35" a="1"/>
  <c r="H76" i="35" s="1"/>
  <c r="H86" i="35" a="1"/>
  <c r="H86" i="35" s="1"/>
  <c r="H75" i="35" a="1"/>
  <c r="H75" i="35" s="1"/>
  <c r="H79" i="35" a="1"/>
  <c r="H79" i="35" s="1"/>
  <c r="H77" i="35" a="1"/>
  <c r="H77" i="35" s="1"/>
  <c r="H74" i="35" a="1"/>
  <c r="H74" i="35" s="1"/>
  <c r="H83" i="35" a="1"/>
  <c r="H83" i="35" s="1"/>
  <c r="H85" i="35" a="1"/>
  <c r="H85" i="35" s="1"/>
  <c r="H84" i="35" a="1"/>
  <c r="H84" i="35" s="1"/>
  <c r="H78" i="35" a="1"/>
  <c r="H78" i="35" s="1"/>
  <c r="H80" i="35" a="1"/>
  <c r="H80" i="35" s="1"/>
  <c r="G238" i="18" a="1"/>
  <c r="G238" i="18" s="1"/>
  <c r="G232" i="18" a="1"/>
  <c r="G232" i="18" s="1"/>
  <c r="G236" i="18" a="1"/>
  <c r="G236" i="18" s="1"/>
  <c r="G233" i="18" a="1"/>
  <c r="G233" i="18" s="1"/>
  <c r="G226" i="18" a="1"/>
  <c r="G226" i="18" s="1"/>
  <c r="G237" i="18" a="1"/>
  <c r="G237" i="18" s="1"/>
  <c r="G234" i="18" a="1"/>
  <c r="G234" i="18" s="1"/>
  <c r="G239" i="18" a="1"/>
  <c r="G239" i="18" s="1"/>
  <c r="Q20" i="20"/>
  <c r="G228" i="18" a="1"/>
  <c r="G228" i="18" s="1"/>
  <c r="G231" i="18" a="1"/>
  <c r="G231" i="18" s="1"/>
  <c r="G230" i="18" a="1"/>
  <c r="G230" i="18" s="1"/>
  <c r="G235" i="18" a="1"/>
  <c r="G235" i="18" s="1"/>
  <c r="G227" i="18" a="1"/>
  <c r="G227" i="18" s="1"/>
  <c r="G229" i="18" a="1"/>
  <c r="G229" i="18" s="1"/>
  <c r="D27" i="17"/>
  <c r="O10" i="9"/>
  <c r="D25" i="17"/>
  <c r="Q40" i="9"/>
  <c r="I111" i="35" a="1"/>
  <c r="I111" i="35" s="1"/>
  <c r="I103" i="35" a="1"/>
  <c r="I103" i="35" s="1"/>
  <c r="I101" i="35" a="1"/>
  <c r="I101" i="35" s="1"/>
  <c r="I109" i="35" a="1"/>
  <c r="I109" i="35" s="1"/>
  <c r="I106" i="35" a="1"/>
  <c r="I106" i="35" s="1"/>
  <c r="I104" i="35" a="1"/>
  <c r="I104" i="35" s="1"/>
  <c r="I113" i="35" a="1"/>
  <c r="I113" i="35" s="1"/>
  <c r="I114" i="35" a="1"/>
  <c r="I114" i="35" s="1"/>
  <c r="I112" i="35" a="1"/>
  <c r="I112" i="35" s="1"/>
  <c r="I107" i="35" a="1"/>
  <c r="I107" i="35" s="1"/>
  <c r="I108" i="35" a="1"/>
  <c r="I108" i="35" s="1"/>
  <c r="I105" i="35" a="1"/>
  <c r="I105" i="35" s="1"/>
  <c r="I102" i="35" a="1"/>
  <c r="I102" i="35" s="1"/>
  <c r="I110" i="35" a="1"/>
  <c r="I110" i="35" s="1"/>
  <c r="G379" i="18" a="1"/>
  <c r="G379" i="18" s="1"/>
  <c r="G367" i="18" a="1"/>
  <c r="G367" i="18" s="1"/>
  <c r="G369" i="18" a="1"/>
  <c r="G369" i="18" s="1"/>
  <c r="G370" i="18" a="1"/>
  <c r="G370" i="18" s="1"/>
  <c r="G376" i="18" a="1"/>
  <c r="G376" i="18" s="1"/>
  <c r="G366" i="18" a="1"/>
  <c r="G366" i="18" s="1"/>
  <c r="G372" i="18" a="1"/>
  <c r="G372" i="18" s="1"/>
  <c r="G378" i="18" a="1"/>
  <c r="G378" i="18" s="1"/>
  <c r="G371" i="18" a="1"/>
  <c r="G371" i="18" s="1"/>
  <c r="G375" i="18" a="1"/>
  <c r="G375" i="18" s="1"/>
  <c r="G373" i="18" a="1"/>
  <c r="G373" i="18" s="1"/>
  <c r="G368" i="18" a="1"/>
  <c r="G368" i="18" s="1"/>
  <c r="G374" i="18" a="1"/>
  <c r="G374" i="18" s="1"/>
  <c r="G377" i="18" a="1"/>
  <c r="G377" i="18" s="1"/>
  <c r="J47" i="20"/>
  <c r="H167" i="35" a="1"/>
  <c r="H167" i="35" s="1"/>
  <c r="H159" i="35" a="1"/>
  <c r="H159" i="35" s="1"/>
  <c r="H161" i="35" a="1"/>
  <c r="H161" i="35" s="1"/>
  <c r="H166" i="35" a="1"/>
  <c r="H166" i="35" s="1"/>
  <c r="H157" i="35" a="1"/>
  <c r="H157" i="35" s="1"/>
  <c r="H160" i="35" a="1"/>
  <c r="H160" i="35" s="1"/>
  <c r="H170" i="35" a="1"/>
  <c r="H170" i="35" s="1"/>
  <c r="H163" i="35" a="1"/>
  <c r="H163" i="35" s="1"/>
  <c r="H158" i="35" a="1"/>
  <c r="H158" i="35" s="1"/>
  <c r="H162" i="35" a="1"/>
  <c r="H162" i="35" s="1"/>
  <c r="H168" i="35" a="1"/>
  <c r="H168" i="35" s="1"/>
  <c r="H165" i="35" a="1"/>
  <c r="H165" i="35" s="1"/>
  <c r="H164" i="35" a="1"/>
  <c r="H164" i="35" s="1"/>
  <c r="H169" i="35" a="1"/>
  <c r="H169" i="35" s="1"/>
  <c r="G491" i="18" a="1"/>
  <c r="G491" i="18" s="1"/>
  <c r="G487" i="18" a="1"/>
  <c r="G487" i="18" s="1"/>
  <c r="G481" i="18" a="1"/>
  <c r="G481" i="18" s="1"/>
  <c r="G478" i="18" a="1"/>
  <c r="G478" i="18" s="1"/>
  <c r="G485" i="18" a="1"/>
  <c r="G485" i="18" s="1"/>
  <c r="G488" i="18" a="1"/>
  <c r="G488" i="18" s="1"/>
  <c r="G479" i="18" a="1"/>
  <c r="G479" i="18" s="1"/>
  <c r="G480" i="18" a="1"/>
  <c r="G480" i="18" s="1"/>
  <c r="G486" i="18" a="1"/>
  <c r="G486" i="18" s="1"/>
  <c r="G484" i="18" a="1"/>
  <c r="G484" i="18" s="1"/>
  <c r="Q47" i="20"/>
  <c r="G490" i="18" a="1"/>
  <c r="G490" i="18" s="1"/>
  <c r="G483" i="18" a="1"/>
  <c r="G483" i="18" s="1"/>
  <c r="G489" i="18" a="1"/>
  <c r="G489" i="18" s="1"/>
  <c r="G482" i="18" a="1"/>
  <c r="G482" i="18" s="1"/>
  <c r="Q8" i="9"/>
  <c r="V8" i="9" s="1"/>
  <c r="T33" i="20"/>
  <c r="K33" i="20"/>
  <c r="T43" i="20"/>
  <c r="T40" i="20"/>
  <c r="T41" i="20"/>
  <c r="T35" i="20"/>
  <c r="K40" i="20"/>
  <c r="K44" i="20"/>
  <c r="T34" i="20"/>
  <c r="T46" i="20"/>
  <c r="K42" i="20"/>
  <c r="R40" i="9"/>
  <c r="T45" i="20"/>
  <c r="K38" i="20"/>
  <c r="K41" i="20"/>
  <c r="K34" i="20"/>
  <c r="E88" i="22"/>
  <c r="K36" i="20"/>
  <c r="T44" i="20"/>
  <c r="K43" i="20"/>
  <c r="T37" i="20"/>
  <c r="T38" i="20"/>
  <c r="K37" i="20"/>
  <c r="K39" i="20"/>
  <c r="T39" i="20"/>
  <c r="T36" i="20"/>
  <c r="K45" i="20"/>
  <c r="K46" i="20"/>
  <c r="K35" i="20"/>
  <c r="T42" i="20"/>
  <c r="I403" i="58" l="1"/>
  <c r="I404" i="58"/>
  <c r="I402" i="58"/>
  <c r="I343" i="58"/>
  <c r="I341" i="58"/>
  <c r="I344" i="58"/>
  <c r="I342" i="58"/>
  <c r="I376" i="18"/>
  <c r="H376" i="18"/>
  <c r="J390" i="58"/>
  <c r="J391" i="58"/>
  <c r="J392" i="58"/>
  <c r="H227" i="18"/>
  <c r="I227" i="18"/>
  <c r="I232" i="18"/>
  <c r="H232" i="18"/>
  <c r="I318" i="58"/>
  <c r="I320" i="58"/>
  <c r="I319" i="58"/>
  <c r="I367" i="58"/>
  <c r="I368" i="58"/>
  <c r="I366" i="58"/>
  <c r="I365" i="58"/>
  <c r="I370" i="18"/>
  <c r="H370" i="18"/>
  <c r="J210" i="58"/>
  <c r="J211" i="58"/>
  <c r="J212" i="58"/>
  <c r="I235" i="18"/>
  <c r="H235" i="18"/>
  <c r="I238" i="18"/>
  <c r="H238" i="18"/>
  <c r="I161" i="37"/>
  <c r="I162" i="37"/>
  <c r="I163" i="37"/>
  <c r="I164" i="37"/>
  <c r="I447" i="18"/>
  <c r="H447" i="18"/>
  <c r="I438" i="18"/>
  <c r="H438" i="18"/>
  <c r="I331" i="58"/>
  <c r="I330" i="58"/>
  <c r="I332" i="58"/>
  <c r="I329" i="58"/>
  <c r="I195" i="18"/>
  <c r="H195" i="18"/>
  <c r="I213" i="37"/>
  <c r="I215" i="37"/>
  <c r="I214" i="37"/>
  <c r="I408" i="18"/>
  <c r="H408" i="18"/>
  <c r="J339" i="58"/>
  <c r="J338" i="58"/>
  <c r="J337" i="58"/>
  <c r="J340" i="58"/>
  <c r="J179" i="58"/>
  <c r="J177" i="58"/>
  <c r="J178" i="58"/>
  <c r="H484" i="18"/>
  <c r="I484" i="18"/>
  <c r="I284" i="58"/>
  <c r="I283" i="58"/>
  <c r="I282" i="58"/>
  <c r="I369" i="18"/>
  <c r="H369" i="18"/>
  <c r="J194" i="58"/>
  <c r="J193" i="58"/>
  <c r="J192" i="58"/>
  <c r="H230" i="18"/>
  <c r="I230" i="18"/>
  <c r="I318" i="37"/>
  <c r="I318" i="41" s="1"/>
  <c r="I319" i="37"/>
  <c r="I319" i="41" s="1"/>
  <c r="I320" i="37"/>
  <c r="I320" i="41" s="1"/>
  <c r="I302" i="37"/>
  <c r="I300" i="37"/>
  <c r="I301" i="37"/>
  <c r="H449" i="18"/>
  <c r="I449" i="18"/>
  <c r="I234" i="58"/>
  <c r="I233" i="58"/>
  <c r="I235" i="58"/>
  <c r="I236" i="58"/>
  <c r="I214" i="58"/>
  <c r="I213" i="58"/>
  <c r="I215" i="58"/>
  <c r="I394" i="37"/>
  <c r="I395" i="37"/>
  <c r="I393" i="37"/>
  <c r="H415" i="18"/>
  <c r="I415" i="18"/>
  <c r="J203" i="58"/>
  <c r="J201" i="58"/>
  <c r="J202" i="58"/>
  <c r="H490" i="18"/>
  <c r="I490" i="18"/>
  <c r="I385" i="58"/>
  <c r="I386" i="58"/>
  <c r="I384" i="58"/>
  <c r="I377" i="18"/>
  <c r="H377" i="18"/>
  <c r="I367" i="18"/>
  <c r="H367" i="18"/>
  <c r="J270" i="58"/>
  <c r="J272" i="58"/>
  <c r="J271" i="58"/>
  <c r="I231" i="18"/>
  <c r="H231" i="18"/>
  <c r="I204" i="37"/>
  <c r="I206" i="37"/>
  <c r="I205" i="37"/>
  <c r="I283" i="37"/>
  <c r="I283" i="41" s="1"/>
  <c r="I284" i="37"/>
  <c r="I284" i="41" s="1"/>
  <c r="I282" i="37"/>
  <c r="I440" i="18"/>
  <c r="H440" i="18"/>
  <c r="I256" i="58"/>
  <c r="I255" i="58"/>
  <c r="I257" i="58"/>
  <c r="I275" i="58"/>
  <c r="I273" i="58"/>
  <c r="I274" i="58"/>
  <c r="I191" i="18"/>
  <c r="H191" i="18"/>
  <c r="I412" i="37"/>
  <c r="I411" i="37"/>
  <c r="I413" i="37"/>
  <c r="I411" i="18"/>
  <c r="H411" i="18"/>
  <c r="J299" i="58"/>
  <c r="J298" i="58"/>
  <c r="J297" i="58"/>
  <c r="G6" i="20"/>
  <c r="N6" i="9"/>
  <c r="P6" i="20"/>
  <c r="G16" i="20"/>
  <c r="P18" i="20"/>
  <c r="N30" i="9"/>
  <c r="P14" i="20"/>
  <c r="G18" i="20"/>
  <c r="P10" i="20"/>
  <c r="G12" i="20"/>
  <c r="G13" i="20"/>
  <c r="P11" i="20"/>
  <c r="G11" i="20"/>
  <c r="G14" i="20"/>
  <c r="P16" i="20"/>
  <c r="P7" i="20"/>
  <c r="P9" i="20"/>
  <c r="G8" i="20"/>
  <c r="P15" i="20"/>
  <c r="E23" i="22"/>
  <c r="P12" i="20"/>
  <c r="G15" i="20"/>
  <c r="G19" i="20"/>
  <c r="P8" i="20"/>
  <c r="G10" i="20"/>
  <c r="P17" i="20"/>
  <c r="G9" i="20"/>
  <c r="G17" i="20"/>
  <c r="P19" i="20"/>
  <c r="P13" i="20"/>
  <c r="G7" i="20"/>
  <c r="I480" i="18"/>
  <c r="H480" i="18"/>
  <c r="I205" i="58"/>
  <c r="I206" i="58"/>
  <c r="I204" i="58"/>
  <c r="I374" i="18"/>
  <c r="H374" i="18"/>
  <c r="H379" i="18"/>
  <c r="I379" i="18"/>
  <c r="J146" i="58"/>
  <c r="J147" i="58"/>
  <c r="J145" i="58"/>
  <c r="J148" i="58"/>
  <c r="H228" i="18"/>
  <c r="I228" i="18"/>
  <c r="I385" i="37"/>
  <c r="I386" i="37"/>
  <c r="I386" i="41" s="1"/>
  <c r="I384" i="37"/>
  <c r="I384" i="41" s="1"/>
  <c r="I61" i="35" a="1"/>
  <c r="I61" i="35" s="1"/>
  <c r="I63" i="35" a="1"/>
  <c r="I63" i="35" s="1"/>
  <c r="I64" i="35" a="1"/>
  <c r="I64" i="35" s="1"/>
  <c r="I71" i="35" a="1"/>
  <c r="I71" i="35" s="1"/>
  <c r="I65" i="35" a="1"/>
  <c r="I65" i="35" s="1"/>
  <c r="I62" i="35" a="1"/>
  <c r="I62" i="35" s="1"/>
  <c r="I60" i="35" a="1"/>
  <c r="I60" i="35" s="1"/>
  <c r="I59" i="35" a="1"/>
  <c r="I59" i="35" s="1"/>
  <c r="I70" i="35" a="1"/>
  <c r="I70" i="35" s="1"/>
  <c r="I67" i="35" a="1"/>
  <c r="I67" i="35" s="1"/>
  <c r="I66" i="35" a="1"/>
  <c r="I66" i="35" s="1"/>
  <c r="I72" i="35" a="1"/>
  <c r="I72" i="35" s="1"/>
  <c r="I68" i="35" a="1"/>
  <c r="I68" i="35" s="1"/>
  <c r="I69" i="35" a="1"/>
  <c r="I69" i="35" s="1"/>
  <c r="G158" i="18" a="1"/>
  <c r="G158" i="18" s="1"/>
  <c r="G164" i="18" a="1"/>
  <c r="G164" i="18" s="1"/>
  <c r="G156" i="18" a="1"/>
  <c r="G156" i="18" s="1"/>
  <c r="G162" i="18" a="1"/>
  <c r="G162" i="18" s="1"/>
  <c r="G160" i="18" a="1"/>
  <c r="G160" i="18" s="1"/>
  <c r="G163" i="18" a="1"/>
  <c r="G163" i="18" s="1"/>
  <c r="G168" i="18" a="1"/>
  <c r="G168" i="18" s="1"/>
  <c r="G167" i="18" a="1"/>
  <c r="G167" i="18" s="1"/>
  <c r="G159" i="18" a="1"/>
  <c r="G159" i="18" s="1"/>
  <c r="G157" i="18" a="1"/>
  <c r="G157" i="18" s="1"/>
  <c r="G169" i="18" a="1"/>
  <c r="G169" i="18" s="1"/>
  <c r="G166" i="18" a="1"/>
  <c r="G166" i="18" s="1"/>
  <c r="S20" i="20"/>
  <c r="G165" i="18" a="1"/>
  <c r="G165" i="18" s="1"/>
  <c r="G161" i="18" a="1"/>
  <c r="G161" i="18" s="1"/>
  <c r="I446" i="18"/>
  <c r="H446" i="18"/>
  <c r="I395" i="58"/>
  <c r="I394" i="58"/>
  <c r="I393" i="58"/>
  <c r="I190" i="18"/>
  <c r="H190" i="18"/>
  <c r="I189" i="18"/>
  <c r="H189" i="18"/>
  <c r="I375" i="37"/>
  <c r="I376" i="37"/>
  <c r="I377" i="37"/>
  <c r="I420" i="18"/>
  <c r="H420" i="18"/>
  <c r="J242" i="58"/>
  <c r="J244" i="58"/>
  <c r="J243" i="58"/>
  <c r="J241" i="58"/>
  <c r="E25" i="22"/>
  <c r="N8" i="9"/>
  <c r="U8" i="9" s="1"/>
  <c r="I479" i="18"/>
  <c r="H479" i="18"/>
  <c r="I368" i="18"/>
  <c r="H368" i="18"/>
  <c r="J288" i="58"/>
  <c r="J289" i="58"/>
  <c r="J290" i="58"/>
  <c r="J325" i="58"/>
  <c r="J326" i="58"/>
  <c r="J328" i="58"/>
  <c r="J327" i="58"/>
  <c r="I404" i="37"/>
  <c r="I404" i="41" s="1"/>
  <c r="I403" i="37"/>
  <c r="I403" i="41" s="1"/>
  <c r="I402" i="37"/>
  <c r="I402" i="41" s="1"/>
  <c r="E24" i="17"/>
  <c r="V6" i="9"/>
  <c r="Q10" i="9"/>
  <c r="E26" i="17"/>
  <c r="I377" i="58"/>
  <c r="I376" i="58"/>
  <c r="I375" i="58"/>
  <c r="H187" i="18"/>
  <c r="I187" i="18"/>
  <c r="H197" i="18"/>
  <c r="I197" i="18"/>
  <c r="I293" i="37"/>
  <c r="I292" i="37"/>
  <c r="I291" i="37"/>
  <c r="I416" i="18"/>
  <c r="H416" i="18"/>
  <c r="J315" i="58"/>
  <c r="J316" i="58"/>
  <c r="J317" i="58"/>
  <c r="G33" i="20"/>
  <c r="P33" i="20"/>
  <c r="P44" i="20"/>
  <c r="P45" i="20"/>
  <c r="G44" i="20"/>
  <c r="P35" i="20"/>
  <c r="G40" i="20"/>
  <c r="P36" i="20"/>
  <c r="P42" i="20"/>
  <c r="G38" i="20"/>
  <c r="E68" i="22"/>
  <c r="G45" i="20"/>
  <c r="G37" i="20"/>
  <c r="P40" i="20"/>
  <c r="P38" i="20"/>
  <c r="G35" i="20"/>
  <c r="G39" i="20"/>
  <c r="G34" i="20"/>
  <c r="P46" i="20"/>
  <c r="G46" i="20"/>
  <c r="G41" i="20"/>
  <c r="P39" i="20"/>
  <c r="P37" i="20"/>
  <c r="P41" i="20"/>
  <c r="G36" i="20"/>
  <c r="G42" i="20"/>
  <c r="P34" i="20"/>
  <c r="N40" i="9"/>
  <c r="P43" i="20"/>
  <c r="G43" i="20"/>
  <c r="H486" i="18"/>
  <c r="I486" i="18"/>
  <c r="I248" i="58"/>
  <c r="I247" i="58"/>
  <c r="I245" i="58"/>
  <c r="I246" i="58"/>
  <c r="I115" i="35" a="1"/>
  <c r="I115" i="35" s="1"/>
  <c r="I117" i="35" a="1"/>
  <c r="I117" i="35" s="1"/>
  <c r="I125" i="35" a="1"/>
  <c r="I125" i="35" s="1"/>
  <c r="I118" i="35" a="1"/>
  <c r="I118" i="35" s="1"/>
  <c r="I116" i="35" a="1"/>
  <c r="I116" i="35" s="1"/>
  <c r="I126" i="35" a="1"/>
  <c r="I126" i="35" s="1"/>
  <c r="I127" i="35" a="1"/>
  <c r="I127" i="35" s="1"/>
  <c r="I119" i="35" a="1"/>
  <c r="I119" i="35" s="1"/>
  <c r="I124" i="35" a="1"/>
  <c r="I124" i="35" s="1"/>
  <c r="I122" i="35" a="1"/>
  <c r="I122" i="35" s="1"/>
  <c r="I123" i="35" a="1"/>
  <c r="I123" i="35" s="1"/>
  <c r="G455" i="18" a="1"/>
  <c r="G455" i="18" s="1"/>
  <c r="I128" i="35" a="1"/>
  <c r="I128" i="35" s="1"/>
  <c r="I121" i="35" a="1"/>
  <c r="I121" i="35" s="1"/>
  <c r="I120" i="35" a="1"/>
  <c r="I120" i="35" s="1"/>
  <c r="G460" i="18" a="1"/>
  <c r="G460" i="18" s="1"/>
  <c r="G462" i="18" a="1"/>
  <c r="G462" i="18" s="1"/>
  <c r="G451" i="18" a="1"/>
  <c r="G451" i="18" s="1"/>
  <c r="G457" i="18" a="1"/>
  <c r="G457" i="18" s="1"/>
  <c r="G454" i="18" a="1"/>
  <c r="G454" i="18" s="1"/>
  <c r="G452" i="18" a="1"/>
  <c r="G452" i="18" s="1"/>
  <c r="G450" i="18" a="1"/>
  <c r="G450" i="18" s="1"/>
  <c r="G461" i="18" a="1"/>
  <c r="G461" i="18" s="1"/>
  <c r="G458" i="18" a="1"/>
  <c r="G458" i="18" s="1"/>
  <c r="G456" i="18" a="1"/>
  <c r="G456" i="18" s="1"/>
  <c r="G459" i="18" a="1"/>
  <c r="G459" i="18" s="1"/>
  <c r="G463" i="18" a="1"/>
  <c r="G463" i="18" s="1"/>
  <c r="G453" i="18" a="1"/>
  <c r="G453" i="18" s="1"/>
  <c r="K47" i="20"/>
  <c r="I488" i="18"/>
  <c r="H488" i="18"/>
  <c r="I264" i="58"/>
  <c r="I265" i="58"/>
  <c r="I266" i="58"/>
  <c r="I373" i="18"/>
  <c r="H373" i="18"/>
  <c r="J229" i="58"/>
  <c r="J231" i="58"/>
  <c r="J230" i="58"/>
  <c r="J232" i="58"/>
  <c r="J349" i="58"/>
  <c r="J352" i="58"/>
  <c r="J351" i="58"/>
  <c r="J350" i="58"/>
  <c r="I239" i="18"/>
  <c r="H239" i="18"/>
  <c r="I365" i="37"/>
  <c r="I366" i="37"/>
  <c r="I366" i="41" s="1"/>
  <c r="I367" i="37"/>
  <c r="I367" i="41" s="1"/>
  <c r="I368" i="37"/>
  <c r="I436" i="18"/>
  <c r="H436" i="18"/>
  <c r="I172" i="58"/>
  <c r="I173" i="58"/>
  <c r="I171" i="58"/>
  <c r="I196" i="18"/>
  <c r="H196" i="18"/>
  <c r="H186" i="18"/>
  <c r="I186" i="18"/>
  <c r="I195" i="37"/>
  <c r="I197" i="37"/>
  <c r="I196" i="37"/>
  <c r="H417" i="18"/>
  <c r="I417" i="18"/>
  <c r="J418" i="58"/>
  <c r="J419" i="58"/>
  <c r="J417" i="58"/>
  <c r="I162" i="35" a="1"/>
  <c r="I162" i="35" s="1"/>
  <c r="I166" i="35" a="1"/>
  <c r="I166" i="35" s="1"/>
  <c r="I169" i="35" a="1"/>
  <c r="I169" i="35" s="1"/>
  <c r="I170" i="35" a="1"/>
  <c r="I170" i="35" s="1"/>
  <c r="I157" i="35" a="1"/>
  <c r="I157" i="35" s="1"/>
  <c r="I165" i="35" a="1"/>
  <c r="I165" i="35" s="1"/>
  <c r="I163" i="35" a="1"/>
  <c r="I163" i="35" s="1"/>
  <c r="I159" i="35" a="1"/>
  <c r="I159" i="35" s="1"/>
  <c r="I161" i="35" a="1"/>
  <c r="I161" i="35" s="1"/>
  <c r="J187" i="58" s="1"/>
  <c r="I158" i="35" a="1"/>
  <c r="I158" i="35" s="1"/>
  <c r="I167" i="35" a="1"/>
  <c r="I167" i="35" s="1"/>
  <c r="I164" i="35" a="1"/>
  <c r="I164" i="35" s="1"/>
  <c r="G501" i="18" a="1"/>
  <c r="G501" i="18" s="1"/>
  <c r="I168" i="35" a="1"/>
  <c r="I168" i="35" s="1"/>
  <c r="G500" i="18" a="1"/>
  <c r="G500" i="18" s="1"/>
  <c r="I160" i="35" a="1"/>
  <c r="I160" i="35" s="1"/>
  <c r="G495" i="18" a="1"/>
  <c r="G495" i="18" s="1"/>
  <c r="G498" i="18" a="1"/>
  <c r="G498" i="18" s="1"/>
  <c r="G499" i="18" a="1"/>
  <c r="G499" i="18" s="1"/>
  <c r="G502" i="18" a="1"/>
  <c r="G502" i="18" s="1"/>
  <c r="G493" i="18" a="1"/>
  <c r="G493" i="18" s="1"/>
  <c r="G505" i="18" a="1"/>
  <c r="G505" i="18" s="1"/>
  <c r="G496" i="18" a="1"/>
  <c r="G496" i="18" s="1"/>
  <c r="G497" i="18" a="1"/>
  <c r="G497" i="18" s="1"/>
  <c r="G494" i="18" a="1"/>
  <c r="G494" i="18" s="1"/>
  <c r="G504" i="18" a="1"/>
  <c r="G504" i="18" s="1"/>
  <c r="G503" i="18" a="1"/>
  <c r="G503" i="18" s="1"/>
  <c r="G492" i="18" a="1"/>
  <c r="G492" i="18" s="1"/>
  <c r="T47" i="20"/>
  <c r="H485" i="18"/>
  <c r="I485" i="18"/>
  <c r="I422" i="58"/>
  <c r="I420" i="58"/>
  <c r="I421" i="58"/>
  <c r="I375" i="18"/>
  <c r="H375" i="18"/>
  <c r="J185" i="58"/>
  <c r="J168" i="58"/>
  <c r="J169" i="58"/>
  <c r="J183" i="58"/>
  <c r="J184" i="58"/>
  <c r="J170" i="58"/>
  <c r="I234" i="18"/>
  <c r="H234" i="18"/>
  <c r="I247" i="37"/>
  <c r="I248" i="37"/>
  <c r="I245" i="37"/>
  <c r="I246" i="37"/>
  <c r="H444" i="18"/>
  <c r="I444" i="18"/>
  <c r="I152" i="58"/>
  <c r="I149" i="58"/>
  <c r="I150" i="58"/>
  <c r="I151" i="58"/>
  <c r="I193" i="18"/>
  <c r="H193" i="18"/>
  <c r="I255" i="37"/>
  <c r="I257" i="37"/>
  <c r="I257" i="41" s="1"/>
  <c r="I256" i="37"/>
  <c r="I256" i="41" s="1"/>
  <c r="I273" i="37"/>
  <c r="I274" i="37"/>
  <c r="I274" i="41" s="1"/>
  <c r="I275" i="37"/>
  <c r="I418" i="18"/>
  <c r="H418" i="18"/>
  <c r="J401" i="58"/>
  <c r="J400" i="58"/>
  <c r="J399" i="58"/>
  <c r="I223" i="58"/>
  <c r="I224" i="58"/>
  <c r="I222" i="58"/>
  <c r="J307" i="58"/>
  <c r="J306" i="58"/>
  <c r="J308" i="58"/>
  <c r="I237" i="18"/>
  <c r="H237" i="18"/>
  <c r="I182" i="37"/>
  <c r="I180" i="37"/>
  <c r="I181" i="37"/>
  <c r="I445" i="18"/>
  <c r="H445" i="18"/>
  <c r="I291" i="58"/>
  <c r="I292" i="58"/>
  <c r="I293" i="58"/>
  <c r="I194" i="18"/>
  <c r="H194" i="18"/>
  <c r="I332" i="37"/>
  <c r="I332" i="41" s="1"/>
  <c r="I331" i="37"/>
  <c r="I331" i="41" s="1"/>
  <c r="I330" i="37"/>
  <c r="I330" i="41" s="1"/>
  <c r="I329" i="37"/>
  <c r="I329" i="41" s="1"/>
  <c r="I152" i="37"/>
  <c r="I149" i="37"/>
  <c r="I150" i="37"/>
  <c r="I151" i="37"/>
  <c r="I413" i="18"/>
  <c r="H413" i="18"/>
  <c r="J383" i="58"/>
  <c r="J381" i="58"/>
  <c r="J382" i="58"/>
  <c r="I478" i="18"/>
  <c r="H478" i="18"/>
  <c r="H371" i="18"/>
  <c r="I371" i="18"/>
  <c r="I482" i="18"/>
  <c r="H482" i="18"/>
  <c r="H481" i="18"/>
  <c r="I481" i="18"/>
  <c r="I161" i="58"/>
  <c r="I164" i="58"/>
  <c r="I162" i="58"/>
  <c r="I163" i="58"/>
  <c r="I378" i="18"/>
  <c r="H378" i="18"/>
  <c r="J252" i="58"/>
  <c r="J253" i="58"/>
  <c r="J254" i="58"/>
  <c r="I226" i="18"/>
  <c r="H226" i="18"/>
  <c r="I265" i="37"/>
  <c r="I264" i="37"/>
  <c r="I266" i="37"/>
  <c r="I266" i="41" s="1"/>
  <c r="I448" i="18"/>
  <c r="H448" i="18"/>
  <c r="I413" i="58"/>
  <c r="I412" i="58"/>
  <c r="I411" i="58"/>
  <c r="I185" i="18"/>
  <c r="H185" i="18"/>
  <c r="I311" i="37"/>
  <c r="I310" i="37"/>
  <c r="I309" i="37"/>
  <c r="I412" i="18"/>
  <c r="H412" i="18"/>
  <c r="J220" i="58"/>
  <c r="J221" i="58"/>
  <c r="J219" i="58"/>
  <c r="I42" i="35" a="1"/>
  <c r="I42" i="35" s="1"/>
  <c r="I43" i="35" a="1"/>
  <c r="I43" i="35" s="1"/>
  <c r="I38" i="35" a="1"/>
  <c r="I38" i="35" s="1"/>
  <c r="I34" i="35" a="1"/>
  <c r="I34" i="35" s="1"/>
  <c r="I41" i="35" a="1"/>
  <c r="I41" i="35" s="1"/>
  <c r="I44" i="35" a="1"/>
  <c r="I44" i="35" s="1"/>
  <c r="I31" i="35" a="1"/>
  <c r="I31" i="35" s="1"/>
  <c r="I33" i="35" a="1"/>
  <c r="I33" i="35" s="1"/>
  <c r="I36" i="35" a="1"/>
  <c r="I36" i="35" s="1"/>
  <c r="I35" i="35" a="1"/>
  <c r="I35" i="35" s="1"/>
  <c r="I37" i="35" a="1"/>
  <c r="I37" i="35" s="1"/>
  <c r="I40" i="35" a="1"/>
  <c r="I40" i="35" s="1"/>
  <c r="I32" i="35" a="1"/>
  <c r="I32" i="35" s="1"/>
  <c r="I39" i="35" a="1"/>
  <c r="I39" i="35" s="1"/>
  <c r="G199" i="18" a="1"/>
  <c r="G199" i="18" s="1"/>
  <c r="G201" i="18" a="1"/>
  <c r="G201" i="18" s="1"/>
  <c r="G205" i="18" a="1"/>
  <c r="G205" i="18" s="1"/>
  <c r="G198" i="18" a="1"/>
  <c r="G198" i="18" s="1"/>
  <c r="G203" i="18" a="1"/>
  <c r="G203" i="18" s="1"/>
  <c r="G207" i="18" a="1"/>
  <c r="G207" i="18" s="1"/>
  <c r="G211" i="18" a="1"/>
  <c r="G211" i="18" s="1"/>
  <c r="G204" i="18" a="1"/>
  <c r="G204" i="18" s="1"/>
  <c r="G206" i="18" a="1"/>
  <c r="G206" i="18" s="1"/>
  <c r="G210" i="18" a="1"/>
  <c r="G210" i="18" s="1"/>
  <c r="G200" i="18" a="1"/>
  <c r="G200" i="18" s="1"/>
  <c r="G209" i="18" a="1"/>
  <c r="G209" i="18" s="1"/>
  <c r="G208" i="18" a="1"/>
  <c r="G208" i="18" s="1"/>
  <c r="K20" i="20"/>
  <c r="G202" i="18" a="1"/>
  <c r="G202" i="18" s="1"/>
  <c r="H487" i="18"/>
  <c r="I487" i="18"/>
  <c r="I301" i="58"/>
  <c r="I302" i="58"/>
  <c r="I300" i="58"/>
  <c r="H372" i="18"/>
  <c r="I372" i="18"/>
  <c r="J374" i="58"/>
  <c r="J373" i="58"/>
  <c r="J372" i="58"/>
  <c r="I233" i="18"/>
  <c r="H233" i="18"/>
  <c r="I341" i="37"/>
  <c r="I341" i="41" s="1"/>
  <c r="I344" i="37"/>
  <c r="I344" i="41" s="1"/>
  <c r="I342" i="37"/>
  <c r="I343" i="37"/>
  <c r="I343" i="41" s="1"/>
  <c r="I30" i="35" a="1"/>
  <c r="I30" i="35" s="1"/>
  <c r="I20" i="35" a="1"/>
  <c r="I20" i="35" s="1"/>
  <c r="I26" i="35" a="1"/>
  <c r="I26" i="35" s="1"/>
  <c r="I28" i="35" a="1"/>
  <c r="I28" i="35" s="1"/>
  <c r="I18" i="35" a="1"/>
  <c r="I18" i="35" s="1"/>
  <c r="I27" i="35" a="1"/>
  <c r="I27" i="35" s="1"/>
  <c r="I25" i="35" a="1"/>
  <c r="I25" i="35" s="1"/>
  <c r="I24" i="35" a="1"/>
  <c r="I24" i="35" s="1"/>
  <c r="I17" i="35" a="1"/>
  <c r="I17" i="35" s="1"/>
  <c r="I23" i="35" a="1"/>
  <c r="I23" i="35" s="1"/>
  <c r="I22" i="35" a="1"/>
  <c r="I22" i="35" s="1"/>
  <c r="I29" i="35" a="1"/>
  <c r="I29" i="35" s="1"/>
  <c r="I19" i="35" a="1"/>
  <c r="I19" i="35" s="1"/>
  <c r="I21" i="35" a="1"/>
  <c r="I21" i="35" s="1"/>
  <c r="G118" i="18" a="1"/>
  <c r="G118" i="18" s="1"/>
  <c r="G117" i="18" a="1"/>
  <c r="G117" i="18" s="1"/>
  <c r="G126" i="18" a="1"/>
  <c r="G126" i="18" s="1"/>
  <c r="G120" i="18" a="1"/>
  <c r="G120" i="18" s="1"/>
  <c r="G116" i="18" a="1"/>
  <c r="G116" i="18" s="1"/>
  <c r="G114" i="18" a="1"/>
  <c r="G114" i="18" s="1"/>
  <c r="G122" i="18" a="1"/>
  <c r="G122" i="18" s="1"/>
  <c r="G121" i="18" a="1"/>
  <c r="G121" i="18" s="1"/>
  <c r="G124" i="18" a="1"/>
  <c r="G124" i="18" s="1"/>
  <c r="G115" i="18" a="1"/>
  <c r="G115" i="18" s="1"/>
  <c r="G119" i="18" a="1"/>
  <c r="G119" i="18" s="1"/>
  <c r="G125" i="18" a="1"/>
  <c r="G125" i="18" s="1"/>
  <c r="G127" i="18" a="1"/>
  <c r="G127" i="18" s="1"/>
  <c r="J20" i="20"/>
  <c r="G123" i="18" a="1"/>
  <c r="G123" i="18" s="1"/>
  <c r="I439" i="18"/>
  <c r="H439" i="18"/>
  <c r="I197" i="58"/>
  <c r="I195" i="58"/>
  <c r="I196" i="58"/>
  <c r="I184" i="18"/>
  <c r="H184" i="18"/>
  <c r="I354" i="37"/>
  <c r="I356" i="37"/>
  <c r="I355" i="37"/>
  <c r="I353" i="37"/>
  <c r="H414" i="18"/>
  <c r="I414" i="18"/>
  <c r="I421" i="18"/>
  <c r="H421" i="18"/>
  <c r="J160" i="58"/>
  <c r="J159" i="58"/>
  <c r="J157" i="58"/>
  <c r="J158" i="58"/>
  <c r="H489" i="18"/>
  <c r="I489" i="18"/>
  <c r="I483" i="18"/>
  <c r="H483" i="18"/>
  <c r="I491" i="18"/>
  <c r="H491" i="18"/>
  <c r="I181" i="58"/>
  <c r="I182" i="58"/>
  <c r="I180" i="58"/>
  <c r="H366" i="18"/>
  <c r="I366" i="18"/>
  <c r="J410" i="58"/>
  <c r="J409" i="58"/>
  <c r="J408" i="58"/>
  <c r="I229" i="18"/>
  <c r="H229" i="18"/>
  <c r="H236" i="18"/>
  <c r="I236" i="18"/>
  <c r="I421" i="37"/>
  <c r="I420" i="37"/>
  <c r="I420" i="41" s="1"/>
  <c r="I422" i="37"/>
  <c r="I422" i="41" s="1"/>
  <c r="I437" i="18"/>
  <c r="H437" i="18"/>
  <c r="I442" i="18"/>
  <c r="H442" i="18"/>
  <c r="I310" i="58"/>
  <c r="I311" i="58"/>
  <c r="I309" i="58"/>
  <c r="H188" i="18"/>
  <c r="I188" i="18"/>
  <c r="I235" i="37"/>
  <c r="I233" i="37"/>
  <c r="I233" i="41" s="1"/>
  <c r="I234" i="37"/>
  <c r="I236" i="37"/>
  <c r="I236" i="41" s="1"/>
  <c r="I419" i="18"/>
  <c r="H419" i="18"/>
  <c r="H409" i="18"/>
  <c r="I409" i="18"/>
  <c r="J261" i="58"/>
  <c r="J263" i="58"/>
  <c r="J262" i="58"/>
  <c r="I84" i="35" a="1"/>
  <c r="I84" i="35" s="1"/>
  <c r="I74" i="35" a="1"/>
  <c r="I74" i="35" s="1"/>
  <c r="I79" i="35" a="1"/>
  <c r="I79" i="35" s="1"/>
  <c r="I82" i="35" a="1"/>
  <c r="I82" i="35" s="1"/>
  <c r="I77" i="35" a="1"/>
  <c r="I77" i="35" s="1"/>
  <c r="I80" i="35" a="1"/>
  <c r="I80" i="35" s="1"/>
  <c r="I78" i="35" a="1"/>
  <c r="I78" i="35" s="1"/>
  <c r="I86" i="35" a="1"/>
  <c r="I86" i="35" s="1"/>
  <c r="I85" i="35" a="1"/>
  <c r="I85" i="35" s="1"/>
  <c r="I73" i="35" a="1"/>
  <c r="I73" i="35" s="1"/>
  <c r="I83" i="35" a="1"/>
  <c r="I83" i="35" s="1"/>
  <c r="I75" i="35" a="1"/>
  <c r="I75" i="35" s="1"/>
  <c r="I76" i="35" a="1"/>
  <c r="I76" i="35" s="1"/>
  <c r="I81" i="35" a="1"/>
  <c r="I81" i="35" s="1"/>
  <c r="G250" i="18" a="1"/>
  <c r="G250" i="18" s="1"/>
  <c r="G241" i="18" a="1"/>
  <c r="G241" i="18" s="1"/>
  <c r="G247" i="18" a="1"/>
  <c r="G247" i="18" s="1"/>
  <c r="G243" i="18" a="1"/>
  <c r="G243" i="18" s="1"/>
  <c r="G245" i="18" a="1"/>
  <c r="G245" i="18" s="1"/>
  <c r="G249" i="18" a="1"/>
  <c r="G249" i="18" s="1"/>
  <c r="G251" i="18" a="1"/>
  <c r="G251" i="18" s="1"/>
  <c r="G246" i="18" a="1"/>
  <c r="G246" i="18" s="1"/>
  <c r="G242" i="18" a="1"/>
  <c r="G242" i="18" s="1"/>
  <c r="T20" i="20"/>
  <c r="G240" i="18" a="1"/>
  <c r="G240" i="18" s="1"/>
  <c r="G252" i="18" a="1"/>
  <c r="G252" i="18" s="1"/>
  <c r="G253" i="18" a="1"/>
  <c r="G253" i="18" s="1"/>
  <c r="G244" i="18" a="1"/>
  <c r="G244" i="18" s="1"/>
  <c r="G248" i="18" a="1"/>
  <c r="G248" i="18" s="1"/>
  <c r="I222" i="37"/>
  <c r="I222" i="41" s="1"/>
  <c r="I224" i="37"/>
  <c r="I224" i="41" s="1"/>
  <c r="I223" i="37"/>
  <c r="I223" i="41" s="1"/>
  <c r="I443" i="18"/>
  <c r="H443" i="18"/>
  <c r="H441" i="18"/>
  <c r="I441" i="18"/>
  <c r="I354" i="58"/>
  <c r="I355" i="58"/>
  <c r="I353" i="58"/>
  <c r="I356" i="58"/>
  <c r="I192" i="18"/>
  <c r="H192" i="18"/>
  <c r="I171" i="37"/>
  <c r="I171" i="41" s="1"/>
  <c r="I173" i="37"/>
  <c r="I173" i="41" s="1"/>
  <c r="I172" i="37"/>
  <c r="I172" i="41" s="1"/>
  <c r="I410" i="18"/>
  <c r="H410" i="18"/>
  <c r="J361" i="58"/>
  <c r="J363" i="58"/>
  <c r="J364" i="58"/>
  <c r="J362" i="58"/>
  <c r="J280" i="58"/>
  <c r="J279" i="58"/>
  <c r="J281" i="58"/>
  <c r="E25" i="17"/>
  <c r="R10" i="9"/>
  <c r="E27" i="17"/>
  <c r="I342" i="41" l="1"/>
  <c r="I265" i="41"/>
  <c r="I248" i="41"/>
  <c r="I234" i="41"/>
  <c r="I421" i="41"/>
  <c r="I264" i="41"/>
  <c r="I235" i="41"/>
  <c r="I368" i="41"/>
  <c r="I245" i="41"/>
  <c r="I255" i="41"/>
  <c r="I385" i="41"/>
  <c r="I273" i="41"/>
  <c r="I247" i="41"/>
  <c r="I365" i="41"/>
  <c r="I275" i="41"/>
  <c r="I151" i="41"/>
  <c r="I246" i="41"/>
  <c r="I353" i="41"/>
  <c r="I182" i="41"/>
  <c r="I355" i="41"/>
  <c r="I354" i="41"/>
  <c r="J367" i="37"/>
  <c r="J365" i="37"/>
  <c r="J366" i="37"/>
  <c r="J368" i="37"/>
  <c r="H117" i="18"/>
  <c r="I117" i="18"/>
  <c r="J373" i="37"/>
  <c r="J373" i="41" s="1"/>
  <c r="J374" i="37"/>
  <c r="J374" i="41" s="1"/>
  <c r="J372" i="37"/>
  <c r="H200" i="18"/>
  <c r="I200" i="18"/>
  <c r="J233" i="37"/>
  <c r="J236" i="37"/>
  <c r="J235" i="37"/>
  <c r="J234" i="37"/>
  <c r="J375" i="37"/>
  <c r="J377" i="37"/>
  <c r="J376" i="37"/>
  <c r="H492" i="18"/>
  <c r="I492" i="18"/>
  <c r="J223" i="58"/>
  <c r="J224" i="58"/>
  <c r="J222" i="58"/>
  <c r="J421" i="58"/>
  <c r="J420" i="58"/>
  <c r="J422" i="58"/>
  <c r="J186" i="18"/>
  <c r="F186" i="18"/>
  <c r="F373" i="18"/>
  <c r="J373" i="18"/>
  <c r="H461" i="18"/>
  <c r="I461" i="18"/>
  <c r="J274" i="58"/>
  <c r="J275" i="58"/>
  <c r="J273" i="58"/>
  <c r="H168" i="18"/>
  <c r="I168" i="18"/>
  <c r="J382" i="37"/>
  <c r="J382" i="41" s="1"/>
  <c r="J381" i="37"/>
  <c r="J381" i="41" s="1"/>
  <c r="J383" i="37"/>
  <c r="J383" i="41" s="1"/>
  <c r="J228" i="18"/>
  <c r="F228" i="18"/>
  <c r="I215" i="41"/>
  <c r="I164" i="41"/>
  <c r="J370" i="18"/>
  <c r="F370" i="18"/>
  <c r="J441" i="18"/>
  <c r="F441" i="18"/>
  <c r="F410" i="18"/>
  <c r="J410" i="18"/>
  <c r="J164" i="37"/>
  <c r="J161" i="37"/>
  <c r="J163" i="37"/>
  <c r="J162" i="37"/>
  <c r="F229" i="18"/>
  <c r="J229" i="18"/>
  <c r="J483" i="18"/>
  <c r="F483" i="18"/>
  <c r="I127" i="18"/>
  <c r="H127" i="18"/>
  <c r="I118" i="18"/>
  <c r="H118" i="18"/>
  <c r="J289" i="37"/>
  <c r="J289" i="41" s="1"/>
  <c r="J288" i="37"/>
  <c r="J290" i="37"/>
  <c r="J290" i="41" s="1"/>
  <c r="J372" i="18"/>
  <c r="F372" i="18"/>
  <c r="I210" i="18"/>
  <c r="H210" i="18"/>
  <c r="J293" i="37"/>
  <c r="J292" i="37"/>
  <c r="J291" i="37"/>
  <c r="F378" i="18"/>
  <c r="J378" i="18"/>
  <c r="J478" i="18"/>
  <c r="F478" i="18"/>
  <c r="F418" i="18"/>
  <c r="J418" i="18"/>
  <c r="C46" i="63"/>
  <c r="H503" i="18"/>
  <c r="I503" i="18"/>
  <c r="I500" i="18"/>
  <c r="H500" i="18"/>
  <c r="J402" i="58"/>
  <c r="J404" i="58"/>
  <c r="J403" i="58"/>
  <c r="I450" i="18"/>
  <c r="H450" i="18"/>
  <c r="J310" i="58"/>
  <c r="J309" i="58"/>
  <c r="J311" i="58"/>
  <c r="I163" i="18"/>
  <c r="H163" i="18"/>
  <c r="J159" i="37"/>
  <c r="J159" i="41" s="1"/>
  <c r="J160" i="37"/>
  <c r="J160" i="41" s="1"/>
  <c r="J157" i="37"/>
  <c r="J157" i="41" s="1"/>
  <c r="J158" i="37"/>
  <c r="J158" i="41" s="1"/>
  <c r="J186" i="58"/>
  <c r="I213" i="41"/>
  <c r="I163" i="41"/>
  <c r="I242" i="18"/>
  <c r="H242" i="18"/>
  <c r="I246" i="18"/>
  <c r="H246" i="18"/>
  <c r="F443" i="18"/>
  <c r="J443" i="18"/>
  <c r="H251" i="18"/>
  <c r="I251" i="18"/>
  <c r="J402" i="37"/>
  <c r="J403" i="37"/>
  <c r="J403" i="41" s="1"/>
  <c r="J404" i="37"/>
  <c r="J409" i="18"/>
  <c r="F409" i="18"/>
  <c r="F489" i="18"/>
  <c r="J489" i="18"/>
  <c r="I356" i="41"/>
  <c r="H125" i="18"/>
  <c r="I125" i="18"/>
  <c r="J185" i="37"/>
  <c r="J183" i="37"/>
  <c r="J183" i="41" s="1"/>
  <c r="J168" i="37"/>
  <c r="J169" i="37"/>
  <c r="J169" i="41" s="1"/>
  <c r="J170" i="37"/>
  <c r="J170" i="41" s="1"/>
  <c r="J184" i="37"/>
  <c r="J184" i="41" s="1"/>
  <c r="J210" i="37"/>
  <c r="J212" i="37"/>
  <c r="J212" i="41" s="1"/>
  <c r="J211" i="37"/>
  <c r="J211" i="41" s="1"/>
  <c r="I206" i="18"/>
  <c r="H206" i="18"/>
  <c r="J257" i="37"/>
  <c r="J256" i="37"/>
  <c r="J255" i="37"/>
  <c r="F237" i="18"/>
  <c r="J237" i="18"/>
  <c r="J444" i="18"/>
  <c r="F444" i="18"/>
  <c r="H504" i="18"/>
  <c r="I504" i="18"/>
  <c r="J386" i="58"/>
  <c r="J385" i="58"/>
  <c r="J384" i="58"/>
  <c r="J302" i="58"/>
  <c r="J301" i="58"/>
  <c r="J300" i="58"/>
  <c r="D76" i="57" s="1"/>
  <c r="F239" i="18"/>
  <c r="J239" i="18"/>
  <c r="H452" i="18"/>
  <c r="I452" i="18"/>
  <c r="J291" i="58"/>
  <c r="J293" i="58"/>
  <c r="J292" i="58"/>
  <c r="H160" i="18"/>
  <c r="I160" i="18"/>
  <c r="J241" i="37"/>
  <c r="J241" i="41" s="1"/>
  <c r="J244" i="37"/>
  <c r="J244" i="41" s="1"/>
  <c r="J243" i="37"/>
  <c r="J243" i="41" s="1"/>
  <c r="J242" i="37"/>
  <c r="J242" i="41" s="1"/>
  <c r="C55" i="63"/>
  <c r="F480" i="18"/>
  <c r="J480" i="18"/>
  <c r="J411" i="18"/>
  <c r="F411" i="18"/>
  <c r="I162" i="41"/>
  <c r="I249" i="18"/>
  <c r="H249" i="18"/>
  <c r="J422" i="37"/>
  <c r="J420" i="37"/>
  <c r="J421" i="37"/>
  <c r="J421" i="41" s="1"/>
  <c r="I119" i="18"/>
  <c r="H119" i="18"/>
  <c r="J328" i="37"/>
  <c r="J328" i="41" s="1"/>
  <c r="J327" i="37"/>
  <c r="J327" i="41" s="1"/>
  <c r="J325" i="37"/>
  <c r="J326" i="37"/>
  <c r="J326" i="41" s="1"/>
  <c r="J410" i="37"/>
  <c r="J410" i="41" s="1"/>
  <c r="J409" i="37"/>
  <c r="J409" i="41" s="1"/>
  <c r="J408" i="37"/>
  <c r="J408" i="41" s="1"/>
  <c r="H204" i="18"/>
  <c r="I204" i="18"/>
  <c r="J172" i="37"/>
  <c r="J171" i="37"/>
  <c r="J173" i="37"/>
  <c r="F448" i="18"/>
  <c r="J448" i="18"/>
  <c r="I494" i="18"/>
  <c r="H494" i="18"/>
  <c r="I501" i="18"/>
  <c r="H501" i="18"/>
  <c r="J205" i="58"/>
  <c r="J206" i="58"/>
  <c r="J204" i="58"/>
  <c r="F196" i="18"/>
  <c r="J196" i="18"/>
  <c r="H454" i="18"/>
  <c r="I454" i="18"/>
  <c r="J172" i="58"/>
  <c r="J173" i="58"/>
  <c r="J171" i="58"/>
  <c r="J486" i="18"/>
  <c r="F486" i="18"/>
  <c r="J416" i="18"/>
  <c r="F416" i="18"/>
  <c r="F420" i="18"/>
  <c r="J420" i="18"/>
  <c r="F446" i="18"/>
  <c r="J446" i="18"/>
  <c r="I162" i="18"/>
  <c r="H162" i="18"/>
  <c r="J219" i="37"/>
  <c r="J219" i="41" s="1"/>
  <c r="J221" i="37"/>
  <c r="J221" i="41" s="1"/>
  <c r="J220" i="37"/>
  <c r="J220" i="41" s="1"/>
  <c r="I413" i="41"/>
  <c r="J440" i="18"/>
  <c r="F440" i="18"/>
  <c r="F415" i="18"/>
  <c r="J415" i="18"/>
  <c r="F449" i="18"/>
  <c r="J449" i="18"/>
  <c r="J188" i="58"/>
  <c r="C54" i="63" s="1"/>
  <c r="J195" i="18"/>
  <c r="F195" i="18"/>
  <c r="I161" i="41"/>
  <c r="H245" i="18"/>
  <c r="I245" i="18"/>
  <c r="J205" i="37"/>
  <c r="J204" i="37"/>
  <c r="J206" i="37"/>
  <c r="J442" i="18"/>
  <c r="F442" i="18"/>
  <c r="H115" i="18"/>
  <c r="I115" i="18"/>
  <c r="J390" i="37"/>
  <c r="J392" i="37"/>
  <c r="J392" i="41" s="1"/>
  <c r="J391" i="37"/>
  <c r="J391" i="41" s="1"/>
  <c r="H211" i="18"/>
  <c r="I211" i="18"/>
  <c r="J195" i="37"/>
  <c r="J196" i="37"/>
  <c r="J197" i="37"/>
  <c r="F194" i="18"/>
  <c r="J194" i="18"/>
  <c r="H497" i="18"/>
  <c r="I497" i="18"/>
  <c r="J319" i="58"/>
  <c r="J318" i="58"/>
  <c r="J320" i="58"/>
  <c r="H457" i="18"/>
  <c r="I457" i="18"/>
  <c r="J393" i="58"/>
  <c r="J395" i="58"/>
  <c r="J394" i="58"/>
  <c r="I291" i="41"/>
  <c r="I377" i="41"/>
  <c r="I161" i="18"/>
  <c r="H161" i="18"/>
  <c r="H156" i="18"/>
  <c r="I156" i="18"/>
  <c r="J262" i="37"/>
  <c r="J262" i="41" s="1"/>
  <c r="J261" i="37"/>
  <c r="J261" i="41" s="1"/>
  <c r="J263" i="37"/>
  <c r="J263" i="41" s="1"/>
  <c r="I411" i="41"/>
  <c r="I282" i="41"/>
  <c r="F367" i="18"/>
  <c r="J367" i="18"/>
  <c r="F376" i="18"/>
  <c r="J376" i="18"/>
  <c r="J318" i="37"/>
  <c r="J320" i="37"/>
  <c r="J319" i="37"/>
  <c r="F419" i="18"/>
  <c r="J419" i="18"/>
  <c r="F366" i="18"/>
  <c r="J366" i="18"/>
  <c r="J184" i="18"/>
  <c r="F184" i="18"/>
  <c r="I124" i="18"/>
  <c r="H124" i="18"/>
  <c r="J193" i="37"/>
  <c r="J193" i="41" s="1"/>
  <c r="J192" i="37"/>
  <c r="J194" i="37"/>
  <c r="J194" i="41" s="1"/>
  <c r="H207" i="18"/>
  <c r="I207" i="18"/>
  <c r="J331" i="37"/>
  <c r="J330" i="37"/>
  <c r="J332" i="37"/>
  <c r="J329" i="37"/>
  <c r="J412" i="18"/>
  <c r="F412" i="18"/>
  <c r="J375" i="18"/>
  <c r="F375" i="18"/>
  <c r="H496" i="18"/>
  <c r="I496" i="18"/>
  <c r="J365" i="58"/>
  <c r="J368" i="58"/>
  <c r="J366" i="58"/>
  <c r="J367" i="58"/>
  <c r="J488" i="18"/>
  <c r="F488" i="18"/>
  <c r="I451" i="18"/>
  <c r="H451" i="18"/>
  <c r="J376" i="58"/>
  <c r="J377" i="58"/>
  <c r="J375" i="58"/>
  <c r="D78" i="57" s="1"/>
  <c r="I292" i="41"/>
  <c r="E28" i="17"/>
  <c r="F368" i="18"/>
  <c r="J368" i="18"/>
  <c r="I376" i="41"/>
  <c r="I165" i="18"/>
  <c r="H165" i="18"/>
  <c r="H164" i="18"/>
  <c r="I164" i="18"/>
  <c r="J401" i="37"/>
  <c r="J401" i="41" s="1"/>
  <c r="J399" i="37"/>
  <c r="J399" i="41" s="1"/>
  <c r="J400" i="37"/>
  <c r="J400" i="41" s="1"/>
  <c r="I412" i="41"/>
  <c r="I393" i="41"/>
  <c r="I301" i="41"/>
  <c r="F369" i="18"/>
  <c r="J369" i="18"/>
  <c r="F238" i="18"/>
  <c r="J238" i="18"/>
  <c r="F192" i="18"/>
  <c r="J192" i="18"/>
  <c r="I309" i="41"/>
  <c r="J481" i="18"/>
  <c r="F481" i="18"/>
  <c r="J413" i="18"/>
  <c r="F413" i="18"/>
  <c r="I505" i="18"/>
  <c r="H505" i="18"/>
  <c r="J246" i="58"/>
  <c r="J248" i="58"/>
  <c r="J245" i="58"/>
  <c r="J247" i="58"/>
  <c r="I462" i="18"/>
  <c r="H462" i="18"/>
  <c r="J234" i="58"/>
  <c r="J233" i="58"/>
  <c r="J235" i="58"/>
  <c r="J236" i="58"/>
  <c r="I293" i="41"/>
  <c r="I375" i="41"/>
  <c r="H158" i="18"/>
  <c r="I158" i="18"/>
  <c r="J203" i="37"/>
  <c r="J203" i="41" s="1"/>
  <c r="J201" i="37"/>
  <c r="J201" i="41" s="1"/>
  <c r="J202" i="37"/>
  <c r="J202" i="41" s="1"/>
  <c r="F379" i="18"/>
  <c r="J379" i="18"/>
  <c r="F377" i="18"/>
  <c r="J377" i="18"/>
  <c r="I395" i="41"/>
  <c r="I300" i="41"/>
  <c r="H248" i="18"/>
  <c r="I248" i="18"/>
  <c r="H203" i="18"/>
  <c r="I203" i="18"/>
  <c r="I198" i="18"/>
  <c r="H198" i="18"/>
  <c r="J412" i="37"/>
  <c r="J413" i="37"/>
  <c r="J411" i="37"/>
  <c r="I310" i="41"/>
  <c r="I493" i="18"/>
  <c r="H493" i="18"/>
  <c r="J180" i="58"/>
  <c r="J182" i="58"/>
  <c r="J181" i="58"/>
  <c r="F417" i="18"/>
  <c r="J417" i="18"/>
  <c r="I453" i="18"/>
  <c r="H453" i="18"/>
  <c r="I460" i="18"/>
  <c r="H460" i="18"/>
  <c r="J213" i="58"/>
  <c r="J214" i="58"/>
  <c r="J215" i="58"/>
  <c r="F197" i="18"/>
  <c r="J197" i="18"/>
  <c r="J479" i="18"/>
  <c r="F479" i="18"/>
  <c r="I166" i="18"/>
  <c r="H166" i="18"/>
  <c r="J361" i="37"/>
  <c r="J361" i="41" s="1"/>
  <c r="J363" i="37"/>
  <c r="J363" i="41" s="1"/>
  <c r="J364" i="37"/>
  <c r="J364" i="41" s="1"/>
  <c r="J362" i="37"/>
  <c r="J362" i="41" s="1"/>
  <c r="J177" i="37"/>
  <c r="J177" i="41" s="1"/>
  <c r="J179" i="37"/>
  <c r="J179" i="41" s="1"/>
  <c r="J186" i="37"/>
  <c r="J188" i="37"/>
  <c r="J187" i="37"/>
  <c r="J187" i="41" s="1"/>
  <c r="J178" i="37"/>
  <c r="J178" i="41" s="1"/>
  <c r="H66" i="35" a="1"/>
  <c r="H66" i="35" s="1"/>
  <c r="H59" i="35" a="1"/>
  <c r="H59" i="35" s="1"/>
  <c r="H65" i="35" a="1"/>
  <c r="H65" i="35" s="1"/>
  <c r="H72" i="35" a="1"/>
  <c r="H72" i="35" s="1"/>
  <c r="H71" i="35" a="1"/>
  <c r="H71" i="35" s="1"/>
  <c r="H60" i="35" a="1"/>
  <c r="H60" i="35" s="1"/>
  <c r="H64" i="35" a="1"/>
  <c r="H64" i="35" s="1"/>
  <c r="H61" i="35" a="1"/>
  <c r="H61" i="35" s="1"/>
  <c r="H69" i="35" a="1"/>
  <c r="H69" i="35" s="1"/>
  <c r="H67" i="35" a="1"/>
  <c r="H67" i="35" s="1"/>
  <c r="H62" i="35" a="1"/>
  <c r="H62" i="35" s="1"/>
  <c r="H68" i="35" a="1"/>
  <c r="H68" i="35" s="1"/>
  <c r="H70" i="35" a="1"/>
  <c r="H70" i="35" s="1"/>
  <c r="H63" i="35" a="1"/>
  <c r="H63" i="35" s="1"/>
  <c r="G147" i="18" a="1"/>
  <c r="G147" i="18" s="1"/>
  <c r="G143" i="18" a="1"/>
  <c r="G143" i="18" s="1"/>
  <c r="G153" i="18" a="1"/>
  <c r="G153" i="18" s="1"/>
  <c r="G149" i="18" a="1"/>
  <c r="G149" i="18" s="1"/>
  <c r="G152" i="18" a="1"/>
  <c r="G152" i="18" s="1"/>
  <c r="G144" i="18" a="1"/>
  <c r="G144" i="18" s="1"/>
  <c r="G145" i="18" a="1"/>
  <c r="G145" i="18" s="1"/>
  <c r="G148" i="18" a="1"/>
  <c r="G148" i="18" s="1"/>
  <c r="G150" i="18" a="1"/>
  <c r="G150" i="18" s="1"/>
  <c r="G154" i="18" a="1"/>
  <c r="G154" i="18" s="1"/>
  <c r="G151" i="18" a="1"/>
  <c r="G151" i="18" s="1"/>
  <c r="P20" i="20"/>
  <c r="G146" i="18" a="1"/>
  <c r="G146" i="18" s="1"/>
  <c r="G142" i="18" a="1"/>
  <c r="G142" i="18" s="1"/>
  <c r="G155" i="18" a="1"/>
  <c r="G155" i="18" s="1"/>
  <c r="F191" i="18"/>
  <c r="J191" i="18"/>
  <c r="I205" i="41"/>
  <c r="I394" i="41"/>
  <c r="I302" i="41"/>
  <c r="F235" i="18"/>
  <c r="J235" i="18"/>
  <c r="J254" i="37"/>
  <c r="J254" i="41" s="1"/>
  <c r="J253" i="37"/>
  <c r="J253" i="41" s="1"/>
  <c r="J252" i="37"/>
  <c r="H241" i="18"/>
  <c r="I241" i="18"/>
  <c r="J302" i="37"/>
  <c r="J300" i="37"/>
  <c r="J301" i="37"/>
  <c r="J301" i="41" s="1"/>
  <c r="H122" i="18"/>
  <c r="I122" i="18"/>
  <c r="J146" i="37"/>
  <c r="J145" i="37"/>
  <c r="J147" i="37"/>
  <c r="J148" i="37"/>
  <c r="I253" i="18"/>
  <c r="H253" i="18"/>
  <c r="I250" i="18"/>
  <c r="H250" i="18"/>
  <c r="J264" i="37"/>
  <c r="J266" i="37"/>
  <c r="J265" i="37"/>
  <c r="H114" i="18"/>
  <c r="I114" i="18"/>
  <c r="J308" i="37"/>
  <c r="J308" i="41" s="1"/>
  <c r="J307" i="37"/>
  <c r="J307" i="41" s="1"/>
  <c r="J306" i="37"/>
  <c r="I202" i="18"/>
  <c r="H202" i="18"/>
  <c r="I205" i="18"/>
  <c r="H205" i="18"/>
  <c r="J356" i="37"/>
  <c r="J354" i="37"/>
  <c r="J353" i="37"/>
  <c r="J355" i="37"/>
  <c r="I311" i="41"/>
  <c r="J226" i="18"/>
  <c r="F226" i="18"/>
  <c r="I150" i="41"/>
  <c r="I502" i="18"/>
  <c r="H502" i="18"/>
  <c r="J341" i="58"/>
  <c r="J343" i="58"/>
  <c r="J344" i="58"/>
  <c r="J342" i="58"/>
  <c r="F436" i="18"/>
  <c r="J436" i="18"/>
  <c r="I463" i="18"/>
  <c r="H463" i="18"/>
  <c r="J196" i="58"/>
  <c r="J195" i="58"/>
  <c r="G265" i="66" s="1"/>
  <c r="J197" i="58"/>
  <c r="J353" i="58"/>
  <c r="G254" i="66" s="1"/>
  <c r="J356" i="58"/>
  <c r="J354" i="58"/>
  <c r="J355" i="58"/>
  <c r="F189" i="18"/>
  <c r="J189" i="18"/>
  <c r="I169" i="18"/>
  <c r="H169" i="18"/>
  <c r="J298" i="37"/>
  <c r="J298" i="41" s="1"/>
  <c r="J299" i="37"/>
  <c r="J299" i="41" s="1"/>
  <c r="J297" i="37"/>
  <c r="J297" i="41" s="1"/>
  <c r="J338" i="37"/>
  <c r="J338" i="41" s="1"/>
  <c r="J337" i="37"/>
  <c r="J337" i="41" s="1"/>
  <c r="J339" i="37"/>
  <c r="J339" i="41" s="1"/>
  <c r="J340" i="37"/>
  <c r="J340" i="41" s="1"/>
  <c r="N10" i="9"/>
  <c r="D24" i="17"/>
  <c r="D28" i="17" s="1"/>
  <c r="D26" i="17"/>
  <c r="U6" i="9"/>
  <c r="I206" i="41"/>
  <c r="H247" i="18"/>
  <c r="I247" i="18"/>
  <c r="J182" i="37"/>
  <c r="J181" i="37"/>
  <c r="J180" i="37"/>
  <c r="J437" i="18"/>
  <c r="F437" i="18"/>
  <c r="I244" i="18"/>
  <c r="H244" i="18"/>
  <c r="H252" i="18"/>
  <c r="I252" i="18"/>
  <c r="J282" i="37"/>
  <c r="J283" i="37"/>
  <c r="J284" i="37"/>
  <c r="J247" i="37"/>
  <c r="J248" i="37"/>
  <c r="J246" i="37"/>
  <c r="J245" i="37"/>
  <c r="J421" i="18"/>
  <c r="F421" i="18"/>
  <c r="I116" i="18"/>
  <c r="H116" i="18"/>
  <c r="J271" i="37"/>
  <c r="J271" i="41" s="1"/>
  <c r="J270" i="37"/>
  <c r="J272" i="37"/>
  <c r="J272" i="41" s="1"/>
  <c r="J233" i="18"/>
  <c r="F233" i="18"/>
  <c r="I201" i="18"/>
  <c r="H201" i="18"/>
  <c r="J215" i="37"/>
  <c r="J213" i="37"/>
  <c r="J213" i="41" s="1"/>
  <c r="J214" i="37"/>
  <c r="J214" i="41" s="1"/>
  <c r="F482" i="18"/>
  <c r="J482" i="18"/>
  <c r="I149" i="41"/>
  <c r="F445" i="18"/>
  <c r="J445" i="18"/>
  <c r="J193" i="18"/>
  <c r="F193" i="18"/>
  <c r="F234" i="18"/>
  <c r="J234" i="18"/>
  <c r="F485" i="18"/>
  <c r="J485" i="18"/>
  <c r="I499" i="18"/>
  <c r="H499" i="18"/>
  <c r="J264" i="58"/>
  <c r="J266" i="58"/>
  <c r="J265" i="58"/>
  <c r="I196" i="41"/>
  <c r="H459" i="18"/>
  <c r="I459" i="18"/>
  <c r="J255" i="58"/>
  <c r="J257" i="58"/>
  <c r="J256" i="58"/>
  <c r="J329" i="58"/>
  <c r="J332" i="58"/>
  <c r="J331" i="58"/>
  <c r="J330" i="58"/>
  <c r="H146" i="35" a="1"/>
  <c r="H146" i="35" s="1"/>
  <c r="H150" i="35" a="1"/>
  <c r="H150" i="35" s="1"/>
  <c r="H144" i="35" a="1"/>
  <c r="H144" i="35" s="1"/>
  <c r="H153" i="35" a="1"/>
  <c r="H153" i="35" s="1"/>
  <c r="H143" i="35" a="1"/>
  <c r="H143" i="35" s="1"/>
  <c r="H145" i="35" a="1"/>
  <c r="H145" i="35" s="1"/>
  <c r="H156" i="35" a="1"/>
  <c r="H156" i="35" s="1"/>
  <c r="H148" i="35" a="1"/>
  <c r="H148" i="35" s="1"/>
  <c r="H155" i="35" a="1"/>
  <c r="H155" i="35" s="1"/>
  <c r="G403" i="18" a="1"/>
  <c r="G403" i="18" s="1"/>
  <c r="H151" i="35" a="1"/>
  <c r="H151" i="35" s="1"/>
  <c r="H147" i="35" a="1"/>
  <c r="H147" i="35" s="1"/>
  <c r="H152" i="35" a="1"/>
  <c r="H152" i="35" s="1"/>
  <c r="H149" i="35" a="1"/>
  <c r="H149" i="35" s="1"/>
  <c r="G395" i="18" a="1"/>
  <c r="G395" i="18" s="1"/>
  <c r="P47" i="20"/>
  <c r="G406" i="18" a="1"/>
  <c r="G406" i="18" s="1"/>
  <c r="G405" i="18" a="1"/>
  <c r="G405" i="18" s="1"/>
  <c r="G407" i="18" a="1"/>
  <c r="G407" i="18" s="1"/>
  <c r="G398" i="18" a="1"/>
  <c r="G398" i="18" s="1"/>
  <c r="G394" i="18" a="1"/>
  <c r="G394" i="18" s="1"/>
  <c r="G404" i="18" a="1"/>
  <c r="G404" i="18" s="1"/>
  <c r="G401" i="18" a="1"/>
  <c r="G401" i="18" s="1"/>
  <c r="H154" i="35" a="1"/>
  <c r="H154" i="35" s="1"/>
  <c r="G396" i="18" a="1"/>
  <c r="G396" i="18" s="1"/>
  <c r="G400" i="18" a="1"/>
  <c r="G400" i="18" s="1"/>
  <c r="G397" i="18" a="1"/>
  <c r="G397" i="18" s="1"/>
  <c r="G402" i="18" a="1"/>
  <c r="G402" i="18" s="1"/>
  <c r="G399" i="18" a="1"/>
  <c r="G399" i="18" s="1"/>
  <c r="F187" i="18"/>
  <c r="J187" i="18"/>
  <c r="H157" i="18"/>
  <c r="I157" i="18"/>
  <c r="J419" i="37"/>
  <c r="J419" i="41" s="1"/>
  <c r="J417" i="37"/>
  <c r="J417" i="41" s="1"/>
  <c r="J418" i="37"/>
  <c r="J418" i="41" s="1"/>
  <c r="J374" i="18"/>
  <c r="F374" i="18"/>
  <c r="H20" i="35" a="1"/>
  <c r="H20" i="35" s="1"/>
  <c r="H29" i="35" a="1"/>
  <c r="H29" i="35" s="1"/>
  <c r="H26" i="35" a="1"/>
  <c r="H26" i="35" s="1"/>
  <c r="H28" i="35" a="1"/>
  <c r="H28" i="35" s="1"/>
  <c r="H17" i="35" a="1"/>
  <c r="H17" i="35" s="1"/>
  <c r="H19" i="35" a="1"/>
  <c r="H19" i="35" s="1"/>
  <c r="H30" i="35" a="1"/>
  <c r="H30" i="35" s="1"/>
  <c r="H24" i="35" a="1"/>
  <c r="H24" i="35" s="1"/>
  <c r="H23" i="35" a="1"/>
  <c r="H23" i="35" s="1"/>
  <c r="H22" i="35" a="1"/>
  <c r="H22" i="35" s="1"/>
  <c r="H27" i="35" a="1"/>
  <c r="H27" i="35" s="1"/>
  <c r="H25" i="35" a="1"/>
  <c r="H25" i="35" s="1"/>
  <c r="H18" i="35" a="1"/>
  <c r="H18" i="35" s="1"/>
  <c r="H21" i="35" a="1"/>
  <c r="H21" i="35" s="1"/>
  <c r="G113" i="18" a="1"/>
  <c r="G113" i="18" s="1"/>
  <c r="G107" i="18" a="1"/>
  <c r="G107" i="18" s="1"/>
  <c r="G109" i="18" a="1"/>
  <c r="G109" i="18" s="1"/>
  <c r="G20" i="20"/>
  <c r="G104" i="18" a="1"/>
  <c r="G104" i="18" s="1"/>
  <c r="G111" i="18" a="1"/>
  <c r="G111" i="18" s="1"/>
  <c r="G108" i="18" a="1"/>
  <c r="G108" i="18" s="1"/>
  <c r="G110" i="18" a="1"/>
  <c r="G110" i="18" s="1"/>
  <c r="G103" i="18" a="1"/>
  <c r="G103" i="18" s="1"/>
  <c r="G106" i="18" a="1"/>
  <c r="G106" i="18" s="1"/>
  <c r="G102" i="18" a="1"/>
  <c r="G102" i="18" s="1"/>
  <c r="G112" i="18" a="1"/>
  <c r="G112" i="18" s="1"/>
  <c r="G101" i="18" a="1"/>
  <c r="G101" i="18" s="1"/>
  <c r="G100" i="18" a="1"/>
  <c r="G100" i="18" s="1"/>
  <c r="G105" i="18" a="1"/>
  <c r="G105" i="18" s="1"/>
  <c r="I204" i="41"/>
  <c r="F484" i="18"/>
  <c r="J484" i="18"/>
  <c r="J438" i="18"/>
  <c r="F438" i="18"/>
  <c r="J232" i="18"/>
  <c r="F232" i="18"/>
  <c r="J344" i="37"/>
  <c r="J341" i="37"/>
  <c r="J343" i="37"/>
  <c r="J342" i="37"/>
  <c r="I243" i="18"/>
  <c r="H243" i="18"/>
  <c r="I121" i="18"/>
  <c r="H121" i="18"/>
  <c r="J487" i="18"/>
  <c r="F487" i="18"/>
  <c r="J152" i="37"/>
  <c r="J149" i="37"/>
  <c r="J151" i="37"/>
  <c r="J150" i="37"/>
  <c r="H240" i="18"/>
  <c r="I240" i="18"/>
  <c r="J223" i="37"/>
  <c r="J223" i="41" s="1"/>
  <c r="J224" i="37"/>
  <c r="J224" i="41" s="1"/>
  <c r="J222" i="37"/>
  <c r="J222" i="41" s="1"/>
  <c r="J384" i="37"/>
  <c r="J384" i="41" s="1"/>
  <c r="J385" i="37"/>
  <c r="J386" i="37"/>
  <c r="J188" i="18"/>
  <c r="F188" i="18"/>
  <c r="F236" i="18"/>
  <c r="J236" i="18"/>
  <c r="F414" i="18"/>
  <c r="J414" i="18"/>
  <c r="J439" i="18"/>
  <c r="F439" i="18"/>
  <c r="I120" i="18"/>
  <c r="H120" i="18"/>
  <c r="J352" i="37"/>
  <c r="J352" i="41" s="1"/>
  <c r="J351" i="37"/>
  <c r="J351" i="41" s="1"/>
  <c r="J349" i="37"/>
  <c r="J350" i="37"/>
  <c r="J350" i="41" s="1"/>
  <c r="I208" i="18"/>
  <c r="H208" i="18"/>
  <c r="I199" i="18"/>
  <c r="H199" i="18"/>
  <c r="J310" i="37"/>
  <c r="J310" i="41" s="1"/>
  <c r="J311" i="37"/>
  <c r="J309" i="37"/>
  <c r="J309" i="41" s="1"/>
  <c r="F185" i="18"/>
  <c r="J185" i="18"/>
  <c r="J371" i="18"/>
  <c r="F371" i="18"/>
  <c r="I152" i="41"/>
  <c r="C16" i="63"/>
  <c r="I181" i="41"/>
  <c r="I498" i="18"/>
  <c r="H498" i="18"/>
  <c r="J283" i="58"/>
  <c r="J284" i="58"/>
  <c r="J282" i="58"/>
  <c r="G255" i="66" s="1"/>
  <c r="I197" i="41"/>
  <c r="H456" i="18"/>
  <c r="I456" i="18"/>
  <c r="J412" i="58"/>
  <c r="J413" i="58"/>
  <c r="J411" i="58"/>
  <c r="J152" i="58"/>
  <c r="J149" i="58"/>
  <c r="J151" i="58"/>
  <c r="J150" i="58"/>
  <c r="H101" i="35" a="1"/>
  <c r="H101" i="35" s="1"/>
  <c r="H103" i="35" a="1"/>
  <c r="H103" i="35" s="1"/>
  <c r="H104" i="35" a="1"/>
  <c r="H104" i="35" s="1"/>
  <c r="H110" i="35" a="1"/>
  <c r="H110" i="35" s="1"/>
  <c r="H113" i="35" a="1"/>
  <c r="H113" i="35" s="1"/>
  <c r="H108" i="35" a="1"/>
  <c r="H108" i="35" s="1"/>
  <c r="H107" i="35" a="1"/>
  <c r="H107" i="35" s="1"/>
  <c r="H112" i="35" a="1"/>
  <c r="H112" i="35" s="1"/>
  <c r="H106" i="35" a="1"/>
  <c r="H106" i="35" s="1"/>
  <c r="H109" i="35" a="1"/>
  <c r="H109" i="35" s="1"/>
  <c r="H114" i="35" a="1"/>
  <c r="H114" i="35" s="1"/>
  <c r="H111" i="35" a="1"/>
  <c r="H111" i="35" s="1"/>
  <c r="H102" i="35" a="1"/>
  <c r="H102" i="35" s="1"/>
  <c r="H105" i="35" a="1"/>
  <c r="H105" i="35" s="1"/>
  <c r="G352" i="18" a="1"/>
  <c r="G352" i="18" s="1"/>
  <c r="G357" i="18" a="1"/>
  <c r="G357" i="18" s="1"/>
  <c r="G365" i="18" a="1"/>
  <c r="G365" i="18" s="1"/>
  <c r="G359" i="18" a="1"/>
  <c r="G359" i="18" s="1"/>
  <c r="G356" i="18" a="1"/>
  <c r="G356" i="18" s="1"/>
  <c r="G364" i="18" a="1"/>
  <c r="G364" i="18" s="1"/>
  <c r="G360" i="18" a="1"/>
  <c r="G360" i="18" s="1"/>
  <c r="G354" i="18" a="1"/>
  <c r="G354" i="18" s="1"/>
  <c r="G361" i="18" a="1"/>
  <c r="G361" i="18" s="1"/>
  <c r="G355" i="18" a="1"/>
  <c r="G355" i="18" s="1"/>
  <c r="G47" i="20"/>
  <c r="G362" i="18" a="1"/>
  <c r="G362" i="18" s="1"/>
  <c r="G358" i="18" a="1"/>
  <c r="G358" i="18" s="1"/>
  <c r="G363" i="18" a="1"/>
  <c r="G363" i="18" s="1"/>
  <c r="G353" i="18" a="1"/>
  <c r="G353" i="18" s="1"/>
  <c r="J190" i="18"/>
  <c r="F190" i="18"/>
  <c r="I159" i="18"/>
  <c r="H159" i="18"/>
  <c r="J317" i="37"/>
  <c r="J317" i="41" s="1"/>
  <c r="J316" i="37"/>
  <c r="J316" i="41" s="1"/>
  <c r="J315" i="37"/>
  <c r="J315" i="41" s="1"/>
  <c r="J490" i="18"/>
  <c r="F490" i="18"/>
  <c r="J408" i="18"/>
  <c r="F408" i="18"/>
  <c r="F227" i="18"/>
  <c r="J227" i="18"/>
  <c r="F491" i="18"/>
  <c r="J491" i="18"/>
  <c r="I123" i="18"/>
  <c r="H123" i="18"/>
  <c r="I126" i="18"/>
  <c r="H126" i="18"/>
  <c r="J230" i="37"/>
  <c r="J230" i="41" s="1"/>
  <c r="J231" i="37"/>
  <c r="J231" i="41" s="1"/>
  <c r="J229" i="37"/>
  <c r="J232" i="37"/>
  <c r="J232" i="41" s="1"/>
  <c r="I209" i="18"/>
  <c r="H209" i="18"/>
  <c r="J273" i="37"/>
  <c r="J273" i="41" s="1"/>
  <c r="J275" i="37"/>
  <c r="J275" i="41" s="1"/>
  <c r="J274" i="37"/>
  <c r="J274" i="41" s="1"/>
  <c r="J393" i="37"/>
  <c r="J395" i="37"/>
  <c r="J394" i="37"/>
  <c r="I180" i="41"/>
  <c r="I495" i="18"/>
  <c r="H495" i="18"/>
  <c r="J164" i="58"/>
  <c r="J163" i="58"/>
  <c r="J161" i="58"/>
  <c r="J162" i="58"/>
  <c r="I195" i="41"/>
  <c r="I458" i="18"/>
  <c r="H458" i="18"/>
  <c r="I455" i="18"/>
  <c r="H455" i="18"/>
  <c r="H167" i="18"/>
  <c r="I167" i="18"/>
  <c r="J280" i="37"/>
  <c r="J280" i="41" s="1"/>
  <c r="J279" i="37"/>
  <c r="J279" i="41" s="1"/>
  <c r="J281" i="37"/>
  <c r="J281" i="41" s="1"/>
  <c r="J231" i="18"/>
  <c r="F231" i="18"/>
  <c r="J230" i="18"/>
  <c r="F230" i="18"/>
  <c r="I214" i="41"/>
  <c r="F447" i="18"/>
  <c r="J447" i="18"/>
  <c r="J404" i="41" l="1"/>
  <c r="J420" i="41"/>
  <c r="G257" i="66"/>
  <c r="AB265" i="66"/>
  <c r="AC265" i="66" s="1"/>
  <c r="AB254" i="66"/>
  <c r="AC254" i="66" s="1"/>
  <c r="AB255" i="66"/>
  <c r="AC255" i="66" s="1"/>
  <c r="O255" i="66"/>
  <c r="O254" i="66"/>
  <c r="O265" i="66"/>
  <c r="G264" i="66"/>
  <c r="J302" i="41"/>
  <c r="G270" i="66"/>
  <c r="D69" i="57"/>
  <c r="J341" i="41"/>
  <c r="J188" i="41"/>
  <c r="D68" i="57"/>
  <c r="J215" i="41"/>
  <c r="J318" i="41"/>
  <c r="J342" i="41"/>
  <c r="D74" i="57"/>
  <c r="J311" i="41"/>
  <c r="J386" i="41"/>
  <c r="J385" i="41"/>
  <c r="J180" i="41"/>
  <c r="G282" i="66"/>
  <c r="G275" i="66"/>
  <c r="J206" i="41"/>
  <c r="G245" i="66"/>
  <c r="J395" i="41"/>
  <c r="O3" i="58"/>
  <c r="G274" i="66"/>
  <c r="J300" i="41"/>
  <c r="J393" i="41"/>
  <c r="J245" i="41"/>
  <c r="J248" i="41"/>
  <c r="J402" i="41"/>
  <c r="D73" i="57"/>
  <c r="J343" i="41"/>
  <c r="J247" i="41"/>
  <c r="J186" i="41"/>
  <c r="J422" i="41"/>
  <c r="J394" i="41"/>
  <c r="D71" i="57"/>
  <c r="D70" i="57"/>
  <c r="J356" i="41"/>
  <c r="J264" i="41"/>
  <c r="J319" i="41"/>
  <c r="J246" i="41"/>
  <c r="J181" i="41"/>
  <c r="J182" i="41"/>
  <c r="G260" i="66"/>
  <c r="I372" i="58"/>
  <c r="I373" i="58"/>
  <c r="I374" i="58"/>
  <c r="H111" i="18"/>
  <c r="I111" i="18"/>
  <c r="I308" i="37"/>
  <c r="I306" i="37"/>
  <c r="I307" i="37"/>
  <c r="I404" i="18"/>
  <c r="H404" i="18"/>
  <c r="H403" i="18"/>
  <c r="I403" i="18"/>
  <c r="J499" i="18"/>
  <c r="F499" i="18"/>
  <c r="F244" i="18"/>
  <c r="J244" i="18"/>
  <c r="I152" i="18"/>
  <c r="H152" i="18"/>
  <c r="I201" i="37"/>
  <c r="I202" i="37"/>
  <c r="I203" i="37"/>
  <c r="F493" i="18"/>
  <c r="J493" i="18"/>
  <c r="F451" i="18"/>
  <c r="J451" i="18"/>
  <c r="J115" i="18"/>
  <c r="F115" i="18"/>
  <c r="G259" i="66"/>
  <c r="G113" i="66"/>
  <c r="G113" i="74" s="1"/>
  <c r="J210" i="41"/>
  <c r="D31" i="57"/>
  <c r="F242" i="18"/>
  <c r="J242" i="18"/>
  <c r="J494" i="58"/>
  <c r="J233" i="41"/>
  <c r="I354" i="18"/>
  <c r="H354" i="18"/>
  <c r="I270" i="58"/>
  <c r="I272" i="58"/>
  <c r="I271" i="58"/>
  <c r="J120" i="18"/>
  <c r="F120" i="18"/>
  <c r="J121" i="18"/>
  <c r="F121" i="18"/>
  <c r="H104" i="18"/>
  <c r="I104" i="18"/>
  <c r="I409" i="37"/>
  <c r="I410" i="37"/>
  <c r="I408" i="37"/>
  <c r="F157" i="18"/>
  <c r="J157" i="18"/>
  <c r="H394" i="18"/>
  <c r="I394" i="18"/>
  <c r="I401" i="58"/>
  <c r="I399" i="58"/>
  <c r="I400" i="58"/>
  <c r="H149" i="18"/>
  <c r="I149" i="18"/>
  <c r="I242" i="37"/>
  <c r="I244" i="37"/>
  <c r="I241" i="37"/>
  <c r="I243" i="37"/>
  <c r="F505" i="18"/>
  <c r="J505" i="18"/>
  <c r="J329" i="41"/>
  <c r="F501" i="18"/>
  <c r="J501" i="18"/>
  <c r="F249" i="18"/>
  <c r="J249" i="18"/>
  <c r="J162" i="41"/>
  <c r="F200" i="18"/>
  <c r="J200" i="18"/>
  <c r="I361" i="18"/>
  <c r="H361" i="18"/>
  <c r="I409" i="58"/>
  <c r="I410" i="58"/>
  <c r="I408" i="58"/>
  <c r="J167" i="18"/>
  <c r="F167" i="18"/>
  <c r="J495" i="18"/>
  <c r="F495" i="18"/>
  <c r="I360" i="18"/>
  <c r="H360" i="18"/>
  <c r="I192" i="58"/>
  <c r="I193" i="58"/>
  <c r="I194" i="58"/>
  <c r="C56" i="63"/>
  <c r="I328" i="37"/>
  <c r="I327" i="37"/>
  <c r="I325" i="37"/>
  <c r="I326" i="37"/>
  <c r="H398" i="18"/>
  <c r="I398" i="18"/>
  <c r="I202" i="58"/>
  <c r="I201" i="58"/>
  <c r="I203" i="58"/>
  <c r="F205" i="18"/>
  <c r="J205" i="18"/>
  <c r="J250" i="18"/>
  <c r="F250" i="18"/>
  <c r="F241" i="18"/>
  <c r="J241" i="18"/>
  <c r="I155" i="18"/>
  <c r="H155" i="18"/>
  <c r="H153" i="18"/>
  <c r="I153" i="18"/>
  <c r="I400" i="37"/>
  <c r="I399" i="37"/>
  <c r="I401" i="37"/>
  <c r="J411" i="41"/>
  <c r="J165" i="18"/>
  <c r="F165" i="18"/>
  <c r="J332" i="41"/>
  <c r="D79" i="57"/>
  <c r="J163" i="41"/>
  <c r="J498" i="18"/>
  <c r="F498" i="18"/>
  <c r="J199" i="18"/>
  <c r="F199" i="18"/>
  <c r="F243" i="18"/>
  <c r="J243" i="18"/>
  <c r="I105" i="18"/>
  <c r="H105" i="18"/>
  <c r="H109" i="18"/>
  <c r="I109" i="18"/>
  <c r="I148" i="37"/>
  <c r="I145" i="37"/>
  <c r="I146" i="37"/>
  <c r="I147" i="37"/>
  <c r="H407" i="18"/>
  <c r="I407" i="18"/>
  <c r="I418" i="58"/>
  <c r="I419" i="58"/>
  <c r="I417" i="58"/>
  <c r="I142" i="18"/>
  <c r="H142" i="18"/>
  <c r="I143" i="18"/>
  <c r="H143" i="18"/>
  <c r="I418" i="37"/>
  <c r="I417" i="37"/>
  <c r="I419" i="37"/>
  <c r="F460" i="18"/>
  <c r="J460" i="18"/>
  <c r="J413" i="41"/>
  <c r="J330" i="41"/>
  <c r="J162" i="18"/>
  <c r="F162" i="18"/>
  <c r="J494" i="18"/>
  <c r="F494" i="18"/>
  <c r="E34" i="53"/>
  <c r="F34" i="53" s="1"/>
  <c r="G130" i="66"/>
  <c r="G130" i="74" s="1"/>
  <c r="J288" i="41"/>
  <c r="D37" i="57"/>
  <c r="J161" i="41"/>
  <c r="G120" i="66"/>
  <c r="J372" i="41"/>
  <c r="D39" i="57"/>
  <c r="H356" i="18"/>
  <c r="I356" i="18"/>
  <c r="I100" i="18"/>
  <c r="H100" i="18"/>
  <c r="I107" i="18"/>
  <c r="H107" i="18"/>
  <c r="I373" i="37"/>
  <c r="I373" i="41" s="1"/>
  <c r="I372" i="37"/>
  <c r="I374" i="37"/>
  <c r="I405" i="18"/>
  <c r="H405" i="18"/>
  <c r="I339" i="58"/>
  <c r="I338" i="58"/>
  <c r="I340" i="58"/>
  <c r="I337" i="58"/>
  <c r="J201" i="18"/>
  <c r="F201" i="18"/>
  <c r="F502" i="18"/>
  <c r="J502" i="18"/>
  <c r="J202" i="18"/>
  <c r="F202" i="18"/>
  <c r="J253" i="18"/>
  <c r="F253" i="18"/>
  <c r="G138" i="66"/>
  <c r="G138" i="74" s="1"/>
  <c r="J252" i="41"/>
  <c r="O3" i="37"/>
  <c r="D34" i="57"/>
  <c r="I146" i="18"/>
  <c r="H146" i="18"/>
  <c r="I147" i="18"/>
  <c r="H147" i="18"/>
  <c r="I263" i="37"/>
  <c r="I261" i="37"/>
  <c r="I262" i="37"/>
  <c r="J412" i="41"/>
  <c r="J331" i="41"/>
  <c r="J457" i="18"/>
  <c r="F457" i="18"/>
  <c r="J197" i="41"/>
  <c r="G135" i="66"/>
  <c r="J494" i="37"/>
  <c r="J493" i="37"/>
  <c r="J325" i="41"/>
  <c r="D30" i="57"/>
  <c r="E394" i="38"/>
  <c r="G115" i="66"/>
  <c r="G115" i="74" s="1"/>
  <c r="J168" i="41"/>
  <c r="D32" i="57"/>
  <c r="D72" i="57"/>
  <c r="F450" i="18"/>
  <c r="J450" i="18"/>
  <c r="J164" i="41"/>
  <c r="J461" i="18"/>
  <c r="F461" i="18"/>
  <c r="J492" i="18"/>
  <c r="F492" i="18"/>
  <c r="I252" i="58"/>
  <c r="I254" i="58"/>
  <c r="I253" i="58"/>
  <c r="F240" i="18"/>
  <c r="J240" i="18"/>
  <c r="F208" i="18"/>
  <c r="J208" i="18"/>
  <c r="H101" i="18"/>
  <c r="I101" i="18"/>
  <c r="I113" i="18"/>
  <c r="H113" i="18"/>
  <c r="I290" i="37"/>
  <c r="I289" i="37"/>
  <c r="I288" i="37"/>
  <c r="H399" i="18"/>
  <c r="I399" i="18"/>
  <c r="H406" i="18"/>
  <c r="I406" i="18"/>
  <c r="I160" i="58"/>
  <c r="I159" i="58"/>
  <c r="I157" i="58"/>
  <c r="I158" i="58"/>
  <c r="F459" i="18"/>
  <c r="J459" i="18"/>
  <c r="G126" i="66"/>
  <c r="D35" i="57"/>
  <c r="J306" i="41"/>
  <c r="M50" i="39" s="1"/>
  <c r="E182" i="38" s="1"/>
  <c r="J148" i="41"/>
  <c r="C25" i="63"/>
  <c r="I179" i="37"/>
  <c r="I188" i="37"/>
  <c r="I187" i="37"/>
  <c r="I177" i="37"/>
  <c r="I186" i="37"/>
  <c r="I178" i="37"/>
  <c r="I160" i="37"/>
  <c r="I157" i="37"/>
  <c r="I158" i="37"/>
  <c r="I159" i="37"/>
  <c r="J453" i="18"/>
  <c r="F453" i="18"/>
  <c r="J462" i="18"/>
  <c r="F462" i="18"/>
  <c r="E32" i="53"/>
  <c r="F207" i="18"/>
  <c r="J207" i="18"/>
  <c r="J196" i="41"/>
  <c r="J204" i="41"/>
  <c r="F454" i="18"/>
  <c r="J454" i="18"/>
  <c r="J255" i="41"/>
  <c r="F251" i="18"/>
  <c r="J251" i="18"/>
  <c r="H364" i="18"/>
  <c r="I364" i="18"/>
  <c r="J150" i="41"/>
  <c r="H112" i="18"/>
  <c r="I112" i="18"/>
  <c r="I185" i="37"/>
  <c r="I169" i="37"/>
  <c r="I183" i="37"/>
  <c r="I170" i="37"/>
  <c r="I168" i="37"/>
  <c r="I184" i="37"/>
  <c r="I391" i="37"/>
  <c r="I390" i="37"/>
  <c r="I392" i="37"/>
  <c r="H402" i="18"/>
  <c r="I402" i="18"/>
  <c r="I363" i="58"/>
  <c r="I361" i="58"/>
  <c r="I364" i="58"/>
  <c r="I362" i="58"/>
  <c r="J284" i="41"/>
  <c r="J247" i="18"/>
  <c r="F247" i="18"/>
  <c r="J147" i="41"/>
  <c r="H151" i="18"/>
  <c r="I151" i="18"/>
  <c r="I381" i="37"/>
  <c r="I383" i="37"/>
  <c r="I382" i="37"/>
  <c r="I315" i="37"/>
  <c r="I317" i="37"/>
  <c r="I316" i="37"/>
  <c r="F166" i="18"/>
  <c r="J166" i="18"/>
  <c r="F198" i="18"/>
  <c r="J198" i="18"/>
  <c r="D77" i="57"/>
  <c r="J195" i="41"/>
  <c r="J205" i="41"/>
  <c r="D75" i="57"/>
  <c r="F160" i="18"/>
  <c r="J160" i="18"/>
  <c r="J256" i="41"/>
  <c r="J185" i="41"/>
  <c r="O7" i="41" s="1"/>
  <c r="C24" i="63"/>
  <c r="J118" i="18"/>
  <c r="F118" i="18"/>
  <c r="F168" i="18"/>
  <c r="J168" i="18"/>
  <c r="J376" i="41"/>
  <c r="J117" i="18"/>
  <c r="F117" i="18"/>
  <c r="I359" i="18"/>
  <c r="H359" i="18"/>
  <c r="I353" i="18"/>
  <c r="H353" i="18"/>
  <c r="I365" i="18"/>
  <c r="H365" i="18"/>
  <c r="I390" i="58"/>
  <c r="I391" i="58"/>
  <c r="I392" i="58"/>
  <c r="J456" i="18"/>
  <c r="F456" i="18"/>
  <c r="J458" i="18"/>
  <c r="F458" i="18"/>
  <c r="I363" i="18"/>
  <c r="H363" i="18"/>
  <c r="I357" i="18"/>
  <c r="H357" i="18"/>
  <c r="I289" i="58"/>
  <c r="I288" i="58"/>
  <c r="I290" i="58"/>
  <c r="J151" i="41"/>
  <c r="J344" i="41"/>
  <c r="I102" i="18"/>
  <c r="H102" i="18"/>
  <c r="I230" i="37"/>
  <c r="I232" i="37"/>
  <c r="I229" i="37"/>
  <c r="I231" i="37"/>
  <c r="I211" i="37"/>
  <c r="I212" i="37"/>
  <c r="I210" i="37"/>
  <c r="I397" i="18"/>
  <c r="H397" i="18"/>
  <c r="I395" i="18"/>
  <c r="H395" i="18"/>
  <c r="I244" i="58"/>
  <c r="I243" i="58"/>
  <c r="I241" i="58"/>
  <c r="I242" i="58"/>
  <c r="J283" i="41"/>
  <c r="G122" i="66"/>
  <c r="D28" i="57"/>
  <c r="J145" i="41"/>
  <c r="H154" i="18"/>
  <c r="I154" i="18"/>
  <c r="I299" i="37"/>
  <c r="I298" i="37"/>
  <c r="I297" i="37"/>
  <c r="J203" i="18"/>
  <c r="F203" i="18"/>
  <c r="F496" i="18"/>
  <c r="J496" i="18"/>
  <c r="J320" i="41"/>
  <c r="F156" i="18"/>
  <c r="J156" i="18"/>
  <c r="J211" i="18"/>
  <c r="F211" i="18"/>
  <c r="F245" i="18"/>
  <c r="J245" i="18"/>
  <c r="J173" i="41"/>
  <c r="J257" i="41"/>
  <c r="F125" i="18"/>
  <c r="J125" i="18"/>
  <c r="J291" i="41"/>
  <c r="J377" i="41"/>
  <c r="F159" i="18"/>
  <c r="J159" i="18"/>
  <c r="I358" i="18"/>
  <c r="H358" i="18"/>
  <c r="I352" i="18"/>
  <c r="H352" i="18"/>
  <c r="I212" i="58"/>
  <c r="I211" i="58"/>
  <c r="I210" i="58"/>
  <c r="J149" i="41"/>
  <c r="I106" i="18"/>
  <c r="H106" i="18"/>
  <c r="I270" i="37"/>
  <c r="I271" i="37"/>
  <c r="I271" i="41" s="1"/>
  <c r="I272" i="37"/>
  <c r="H400" i="18"/>
  <c r="I400" i="18"/>
  <c r="I261" i="58"/>
  <c r="I262" i="58"/>
  <c r="I263" i="58"/>
  <c r="I316" i="58"/>
  <c r="I317" i="58"/>
  <c r="I315" i="58"/>
  <c r="G111" i="66"/>
  <c r="G111" i="74" s="1"/>
  <c r="J270" i="41"/>
  <c r="D36" i="57"/>
  <c r="J282" i="41"/>
  <c r="J463" i="18"/>
  <c r="F463" i="18"/>
  <c r="F114" i="18"/>
  <c r="J114" i="18"/>
  <c r="E26" i="53"/>
  <c r="G116" i="66"/>
  <c r="G116" i="74" s="1"/>
  <c r="J146" i="41"/>
  <c r="I150" i="18"/>
  <c r="H150" i="18"/>
  <c r="I221" i="37"/>
  <c r="I219" i="37"/>
  <c r="I220" i="37"/>
  <c r="F158" i="18"/>
  <c r="J158" i="18"/>
  <c r="J192" i="41"/>
  <c r="D33" i="57"/>
  <c r="G121" i="66"/>
  <c r="G121" i="74" s="1"/>
  <c r="D67" i="57"/>
  <c r="J171" i="41"/>
  <c r="J119" i="18"/>
  <c r="F119" i="18"/>
  <c r="J292" i="41"/>
  <c r="F127" i="18"/>
  <c r="J127" i="18"/>
  <c r="J493" i="58"/>
  <c r="J375" i="41"/>
  <c r="J368" i="41"/>
  <c r="G101" i="66"/>
  <c r="G101" i="74" s="1"/>
  <c r="AC101" i="74" s="1"/>
  <c r="D29" i="57"/>
  <c r="J229" i="41"/>
  <c r="I306" i="58"/>
  <c r="I307" i="58"/>
  <c r="I308" i="58"/>
  <c r="J152" i="41"/>
  <c r="C26" i="63"/>
  <c r="H103" i="18"/>
  <c r="I103" i="18"/>
  <c r="I352" i="37"/>
  <c r="I350" i="37"/>
  <c r="I351" i="37"/>
  <c r="I349" i="37"/>
  <c r="H396" i="18"/>
  <c r="I396" i="18"/>
  <c r="I299" i="58"/>
  <c r="I298" i="58"/>
  <c r="I297" i="58"/>
  <c r="I220" i="58"/>
  <c r="I219" i="58"/>
  <c r="I221" i="58"/>
  <c r="J252" i="18"/>
  <c r="F252" i="18"/>
  <c r="F169" i="18"/>
  <c r="J169" i="18"/>
  <c r="J355" i="41"/>
  <c r="F122" i="18"/>
  <c r="J122" i="18"/>
  <c r="H148" i="18"/>
  <c r="I148" i="18"/>
  <c r="I280" i="37"/>
  <c r="I281" i="37"/>
  <c r="I279" i="37"/>
  <c r="J248" i="18"/>
  <c r="F248" i="18"/>
  <c r="F497" i="18"/>
  <c r="J497" i="18"/>
  <c r="G266" i="66"/>
  <c r="J172" i="41"/>
  <c r="F504" i="18"/>
  <c r="J504" i="18"/>
  <c r="F206" i="18"/>
  <c r="J206" i="18"/>
  <c r="F500" i="18"/>
  <c r="J500" i="18"/>
  <c r="J293" i="41"/>
  <c r="E397" i="38"/>
  <c r="J234" i="41"/>
  <c r="J366" i="41"/>
  <c r="F209" i="18"/>
  <c r="J209" i="18"/>
  <c r="J455" i="18"/>
  <c r="F455" i="18"/>
  <c r="F126" i="18"/>
  <c r="J126" i="18"/>
  <c r="I362" i="18"/>
  <c r="H362" i="18"/>
  <c r="I168" i="58"/>
  <c r="I185" i="58"/>
  <c r="I170" i="58"/>
  <c r="I183" i="58"/>
  <c r="I169" i="58"/>
  <c r="I184" i="58"/>
  <c r="I328" i="58"/>
  <c r="I326" i="58"/>
  <c r="I325" i="58"/>
  <c r="I327" i="58"/>
  <c r="G110" i="66"/>
  <c r="G110" i="74" s="1"/>
  <c r="O110" i="74" s="1"/>
  <c r="D38" i="57"/>
  <c r="J349" i="41"/>
  <c r="I229" i="58"/>
  <c r="I232" i="58"/>
  <c r="I230" i="58"/>
  <c r="I231" i="58"/>
  <c r="I147" i="58"/>
  <c r="I146" i="58"/>
  <c r="I148" i="58"/>
  <c r="I145" i="58"/>
  <c r="I110" i="18"/>
  <c r="H110" i="18"/>
  <c r="I192" i="37"/>
  <c r="I193" i="37"/>
  <c r="I193" i="41" s="1"/>
  <c r="I194" i="37"/>
  <c r="I194" i="41" s="1"/>
  <c r="I383" i="58"/>
  <c r="I381" i="58"/>
  <c r="I382" i="58"/>
  <c r="I188" i="58"/>
  <c r="I186" i="58"/>
  <c r="I179" i="58"/>
  <c r="I177" i="58"/>
  <c r="I187" i="58"/>
  <c r="I178" i="58"/>
  <c r="J353" i="41"/>
  <c r="J265" i="41"/>
  <c r="H145" i="18"/>
  <c r="I145" i="18"/>
  <c r="I362" i="37"/>
  <c r="I362" i="41" s="1"/>
  <c r="I363" i="37"/>
  <c r="I361" i="37"/>
  <c r="I364" i="37"/>
  <c r="F161" i="18"/>
  <c r="J161" i="18"/>
  <c r="F204" i="18"/>
  <c r="J204" i="18"/>
  <c r="J246" i="18"/>
  <c r="F246" i="18"/>
  <c r="F503" i="18"/>
  <c r="J503" i="18"/>
  <c r="G279" i="66"/>
  <c r="J235" i="41"/>
  <c r="J365" i="41"/>
  <c r="J123" i="18"/>
  <c r="F123" i="18"/>
  <c r="H355" i="18"/>
  <c r="I355" i="18"/>
  <c r="I350" i="58"/>
  <c r="I349" i="58"/>
  <c r="I351" i="58"/>
  <c r="I352" i="58"/>
  <c r="H108" i="18"/>
  <c r="I108" i="18"/>
  <c r="I252" i="37"/>
  <c r="I253" i="37"/>
  <c r="I254" i="37"/>
  <c r="I254" i="41" s="1"/>
  <c r="H401" i="18"/>
  <c r="I401" i="18"/>
  <c r="I279" i="58"/>
  <c r="I281" i="58"/>
  <c r="I280" i="58"/>
  <c r="F116" i="18"/>
  <c r="J116" i="18"/>
  <c r="J354" i="41"/>
  <c r="J266" i="41"/>
  <c r="H144" i="18"/>
  <c r="I144" i="18"/>
  <c r="I337" i="37"/>
  <c r="I337" i="41" s="1"/>
  <c r="I340" i="37"/>
  <c r="I339" i="37"/>
  <c r="I339" i="41" s="1"/>
  <c r="I338" i="37"/>
  <c r="I338" i="41" s="1"/>
  <c r="F164" i="18"/>
  <c r="J164" i="18"/>
  <c r="F124" i="18"/>
  <c r="J124" i="18"/>
  <c r="G131" i="66"/>
  <c r="G131" i="74" s="1"/>
  <c r="D40" i="57"/>
  <c r="E28" i="53"/>
  <c r="F28" i="53" s="1"/>
  <c r="J390" i="41"/>
  <c r="J452" i="18"/>
  <c r="F452" i="18"/>
  <c r="J163" i="18"/>
  <c r="F163" i="18"/>
  <c r="J210" i="18"/>
  <c r="F210" i="18"/>
  <c r="J236" i="41"/>
  <c r="J367" i="41"/>
  <c r="G122" i="74" l="1"/>
  <c r="I364" i="41"/>
  <c r="G126" i="74"/>
  <c r="AD101" i="74"/>
  <c r="C4" i="75" s="1"/>
  <c r="C19" i="75"/>
  <c r="G135" i="74"/>
  <c r="O101" i="74"/>
  <c r="G120" i="74"/>
  <c r="AC120" i="74" s="1"/>
  <c r="AD120" i="74" s="1"/>
  <c r="AC110" i="74"/>
  <c r="AD110" i="74" s="1"/>
  <c r="N135" i="66"/>
  <c r="N135" i="74" s="1"/>
  <c r="O130" i="74"/>
  <c r="AC130" i="74"/>
  <c r="N279" i="66"/>
  <c r="O279" i="66" s="1"/>
  <c r="G280" i="66"/>
  <c r="O280" i="66" s="1"/>
  <c r="O111" i="74"/>
  <c r="AC111" i="74"/>
  <c r="O115" i="74"/>
  <c r="AC115" i="74"/>
  <c r="O121" i="74"/>
  <c r="AC121" i="74"/>
  <c r="AB121" i="66"/>
  <c r="AC121" i="66" s="1"/>
  <c r="AB130" i="66"/>
  <c r="AC130" i="66" s="1"/>
  <c r="AB264" i="66"/>
  <c r="AC264" i="66" s="1"/>
  <c r="AB259" i="66"/>
  <c r="AC259" i="66" s="1"/>
  <c r="AB274" i="66"/>
  <c r="AC274" i="66" s="1"/>
  <c r="AB101" i="66"/>
  <c r="AC101" i="66" s="1"/>
  <c r="AB110" i="66"/>
  <c r="AC110" i="66" s="1"/>
  <c r="AB245" i="66"/>
  <c r="AC245" i="66" s="1"/>
  <c r="AB111" i="66"/>
  <c r="AC111" i="66" s="1"/>
  <c r="AB115" i="66"/>
  <c r="AC115" i="66" s="1"/>
  <c r="AB120" i="66"/>
  <c r="AC120" i="66" s="1"/>
  <c r="I400" i="41"/>
  <c r="I361" i="41"/>
  <c r="O115" i="66"/>
  <c r="O120" i="66"/>
  <c r="O130" i="66"/>
  <c r="AA274" i="66" s="1"/>
  <c r="O264" i="66"/>
  <c r="O111" i="66"/>
  <c r="AA255" i="66" s="1"/>
  <c r="O121" i="66"/>
  <c r="AA265" i="66" s="1"/>
  <c r="O101" i="66"/>
  <c r="O274" i="66"/>
  <c r="O259" i="66"/>
  <c r="O110" i="66"/>
  <c r="AA110" i="66" s="1"/>
  <c r="O245" i="66"/>
  <c r="I363" i="41"/>
  <c r="I399" i="41"/>
  <c r="E48" i="39"/>
  <c r="M49" i="39"/>
  <c r="E181" i="38" s="1"/>
  <c r="E49" i="39"/>
  <c r="E130" i="38" s="1"/>
  <c r="I401" i="41"/>
  <c r="I157" i="41"/>
  <c r="I253" i="41"/>
  <c r="I160" i="41"/>
  <c r="C44" i="63"/>
  <c r="E400" i="38"/>
  <c r="J495" i="37" s="1"/>
  <c r="I340" i="41"/>
  <c r="E50" i="39"/>
  <c r="E131" i="38" s="1"/>
  <c r="I374" i="41"/>
  <c r="I272" i="41"/>
  <c r="O135" i="66"/>
  <c r="M51" i="39"/>
  <c r="E183" i="38" s="1"/>
  <c r="J465" i="58" s="1"/>
  <c r="E403" i="38"/>
  <c r="J497" i="58" s="1"/>
  <c r="M48" i="39"/>
  <c r="E180" i="38" s="1"/>
  <c r="I391" i="41"/>
  <c r="I211" i="41"/>
  <c r="I158" i="41"/>
  <c r="I289" i="41"/>
  <c r="I297" i="41"/>
  <c r="I290" i="41"/>
  <c r="I298" i="41"/>
  <c r="I392" i="41"/>
  <c r="I418" i="41"/>
  <c r="I279" i="41"/>
  <c r="G90" i="66"/>
  <c r="N3" i="37"/>
  <c r="D21" i="57"/>
  <c r="I252" i="41"/>
  <c r="G197" i="66"/>
  <c r="D55" i="57"/>
  <c r="I352" i="41"/>
  <c r="I230" i="41"/>
  <c r="J359" i="18"/>
  <c r="F359" i="18"/>
  <c r="I317" i="41"/>
  <c r="I183" i="41"/>
  <c r="J464" i="58"/>
  <c r="K270" i="66"/>
  <c r="AB270" i="66" s="1"/>
  <c r="J399" i="18"/>
  <c r="F399" i="18"/>
  <c r="F356" i="18"/>
  <c r="J356" i="18"/>
  <c r="F142" i="18"/>
  <c r="J142" i="18"/>
  <c r="F152" i="18"/>
  <c r="J152" i="18"/>
  <c r="J111" i="18"/>
  <c r="F111" i="18"/>
  <c r="F108" i="18"/>
  <c r="J108" i="18"/>
  <c r="J103" i="18"/>
  <c r="F103" i="18"/>
  <c r="I315" i="41"/>
  <c r="I169" i="41"/>
  <c r="M47" i="39"/>
  <c r="E51" i="39"/>
  <c r="E132" i="38" s="1"/>
  <c r="J105" i="18"/>
  <c r="F105" i="18"/>
  <c r="H34" i="53"/>
  <c r="G34" i="53" s="1"/>
  <c r="I281" i="41"/>
  <c r="I220" i="41"/>
  <c r="F400" i="18"/>
  <c r="J400" i="18"/>
  <c r="F352" i="18"/>
  <c r="J352" i="18"/>
  <c r="I299" i="41"/>
  <c r="F102" i="18"/>
  <c r="J102" i="18"/>
  <c r="I382" i="41"/>
  <c r="I185" i="41"/>
  <c r="C14" i="63"/>
  <c r="G82" i="66"/>
  <c r="D24" i="57"/>
  <c r="I288" i="41"/>
  <c r="Z115" i="66"/>
  <c r="F361" i="18"/>
  <c r="J361" i="18"/>
  <c r="I243" i="41"/>
  <c r="G207" i="66"/>
  <c r="D62" i="57"/>
  <c r="D64" i="57"/>
  <c r="G206" i="66"/>
  <c r="I219" i="41"/>
  <c r="F154" i="18"/>
  <c r="J154" i="18"/>
  <c r="F395" i="18"/>
  <c r="J395" i="18"/>
  <c r="I383" i="41"/>
  <c r="J112" i="18"/>
  <c r="F112" i="18"/>
  <c r="I178" i="41"/>
  <c r="G234" i="66"/>
  <c r="D60" i="57"/>
  <c r="N3" i="58"/>
  <c r="I262" i="41"/>
  <c r="G217" i="66"/>
  <c r="D59" i="57"/>
  <c r="I241" i="41"/>
  <c r="I408" i="41"/>
  <c r="D58" i="57"/>
  <c r="G211" i="66"/>
  <c r="F355" i="18"/>
  <c r="J355" i="18"/>
  <c r="I280" i="41"/>
  <c r="J401" i="18"/>
  <c r="F401" i="18"/>
  <c r="G218" i="66"/>
  <c r="D54" i="57"/>
  <c r="F148" i="18"/>
  <c r="J148" i="18"/>
  <c r="O9" i="41"/>
  <c r="I221" i="41"/>
  <c r="F358" i="18"/>
  <c r="J358" i="18"/>
  <c r="I381" i="41"/>
  <c r="F402" i="18"/>
  <c r="J402" i="18"/>
  <c r="I186" i="41"/>
  <c r="I261" i="41"/>
  <c r="F405" i="18"/>
  <c r="J405" i="18"/>
  <c r="J407" i="18"/>
  <c r="F407" i="18"/>
  <c r="I244" i="41"/>
  <c r="I410" i="41"/>
  <c r="J354" i="18"/>
  <c r="F354" i="18"/>
  <c r="G216" i="66"/>
  <c r="D65" i="57"/>
  <c r="G73" i="66"/>
  <c r="D20" i="57"/>
  <c r="I192" i="41"/>
  <c r="Z110" i="66"/>
  <c r="AA254" i="66"/>
  <c r="F362" i="18"/>
  <c r="J362" i="18"/>
  <c r="F110" i="18"/>
  <c r="J110" i="18"/>
  <c r="I494" i="58"/>
  <c r="I493" i="58"/>
  <c r="G231" i="66"/>
  <c r="D56" i="57"/>
  <c r="E396" i="38"/>
  <c r="C45" i="63"/>
  <c r="J397" i="18"/>
  <c r="F397" i="18"/>
  <c r="F151" i="18"/>
  <c r="J151" i="18"/>
  <c r="I177" i="41"/>
  <c r="I263" i="41"/>
  <c r="J153" i="18"/>
  <c r="F153" i="18"/>
  <c r="F360" i="18"/>
  <c r="J360" i="18"/>
  <c r="I242" i="41"/>
  <c r="I409" i="41"/>
  <c r="F403" i="18"/>
  <c r="J403" i="18"/>
  <c r="J150" i="18"/>
  <c r="F150" i="18"/>
  <c r="G63" i="66"/>
  <c r="G63" i="74" s="1"/>
  <c r="AC63" i="74" s="1"/>
  <c r="AD63" i="74" s="1"/>
  <c r="D23" i="57"/>
  <c r="I270" i="41"/>
  <c r="G65" i="66"/>
  <c r="D18" i="57"/>
  <c r="I210" i="41"/>
  <c r="D63" i="57"/>
  <c r="G226" i="66"/>
  <c r="G227" i="66"/>
  <c r="E22" i="53"/>
  <c r="F22" i="53" s="1"/>
  <c r="D66" i="57"/>
  <c r="I187" i="41"/>
  <c r="F113" i="18"/>
  <c r="J113" i="18"/>
  <c r="G136" i="66"/>
  <c r="G136" i="74" s="1"/>
  <c r="O136" i="74" s="1"/>
  <c r="J493" i="41"/>
  <c r="G72" i="66"/>
  <c r="G72" i="74" s="1"/>
  <c r="D26" i="57"/>
  <c r="I372" i="41"/>
  <c r="I419" i="41"/>
  <c r="I147" i="41"/>
  <c r="J398" i="18"/>
  <c r="F398" i="18"/>
  <c r="J149" i="18"/>
  <c r="F149" i="18"/>
  <c r="F104" i="18"/>
  <c r="J104" i="18"/>
  <c r="G281" i="66"/>
  <c r="E33" i="53"/>
  <c r="F33" i="53" s="1"/>
  <c r="E20" i="53"/>
  <c r="G212" i="66"/>
  <c r="J144" i="18"/>
  <c r="F144" i="18"/>
  <c r="J396" i="18"/>
  <c r="F396" i="18"/>
  <c r="G222" i="66"/>
  <c r="D61" i="57"/>
  <c r="AA111" i="66"/>
  <c r="Z111" i="66"/>
  <c r="Z255" i="66"/>
  <c r="I212" i="41"/>
  <c r="G83" i="66"/>
  <c r="E16" i="53"/>
  <c r="F16" i="53" s="1"/>
  <c r="D27" i="57"/>
  <c r="I390" i="41"/>
  <c r="J364" i="18"/>
  <c r="F364" i="18"/>
  <c r="I188" i="41"/>
  <c r="F101" i="18"/>
  <c r="J101" i="18"/>
  <c r="G137" i="66"/>
  <c r="J494" i="41"/>
  <c r="E27" i="53"/>
  <c r="F27" i="53" s="1"/>
  <c r="F147" i="18"/>
  <c r="J147" i="18"/>
  <c r="I417" i="41"/>
  <c r="G68" i="66"/>
  <c r="E14" i="53"/>
  <c r="I146" i="41"/>
  <c r="E47" i="39"/>
  <c r="F106" i="18"/>
  <c r="J106" i="18"/>
  <c r="E129" i="38"/>
  <c r="J365" i="18"/>
  <c r="F365" i="18"/>
  <c r="I179" i="41"/>
  <c r="AA130" i="66"/>
  <c r="Z274" i="66"/>
  <c r="Z130" i="66"/>
  <c r="G74" i="66"/>
  <c r="D15" i="57"/>
  <c r="I145" i="41"/>
  <c r="L48" i="39" s="1"/>
  <c r="F155" i="18"/>
  <c r="J155" i="18"/>
  <c r="I326" i="41"/>
  <c r="I203" i="41"/>
  <c r="F404" i="18"/>
  <c r="J404" i="18"/>
  <c r="G62" i="66"/>
  <c r="G62" i="74" s="1"/>
  <c r="I349" i="41"/>
  <c r="D25" i="57"/>
  <c r="I231" i="41"/>
  <c r="F357" i="18"/>
  <c r="J357" i="18"/>
  <c r="I184" i="41"/>
  <c r="F146" i="18"/>
  <c r="J146" i="18"/>
  <c r="J107" i="18"/>
  <c r="F107" i="18"/>
  <c r="H28" i="53"/>
  <c r="G28" i="53" s="1"/>
  <c r="I148" i="41"/>
  <c r="C15" i="63"/>
  <c r="I493" i="37"/>
  <c r="G87" i="66"/>
  <c r="G87" i="74" s="1"/>
  <c r="I494" i="37"/>
  <c r="I325" i="41"/>
  <c r="E393" i="38"/>
  <c r="D17" i="57"/>
  <c r="I202" i="41"/>
  <c r="I307" i="41"/>
  <c r="J145" i="18"/>
  <c r="F145" i="18"/>
  <c r="I351" i="41"/>
  <c r="AA101" i="66"/>
  <c r="J5" i="6"/>
  <c r="G209" i="66"/>
  <c r="D57" i="57"/>
  <c r="G53" i="66"/>
  <c r="G53" i="74" s="1"/>
  <c r="AC53" i="74" s="1"/>
  <c r="AD53" i="74" s="1"/>
  <c r="I229" i="41"/>
  <c r="D16" i="57"/>
  <c r="F353" i="18"/>
  <c r="J353" i="18"/>
  <c r="G67" i="66"/>
  <c r="G67" i="74" s="1"/>
  <c r="D19" i="57"/>
  <c r="I168" i="41"/>
  <c r="F406" i="18"/>
  <c r="J406" i="18"/>
  <c r="J143" i="18"/>
  <c r="F143" i="18"/>
  <c r="J109" i="18"/>
  <c r="F109" i="18"/>
  <c r="I327" i="41"/>
  <c r="I201" i="41"/>
  <c r="G78" i="66"/>
  <c r="G78" i="74" s="1"/>
  <c r="I306" i="41"/>
  <c r="L50" i="39" s="1"/>
  <c r="E165" i="38" s="1"/>
  <c r="D22" i="57"/>
  <c r="I350" i="41"/>
  <c r="I232" i="41"/>
  <c r="F363" i="18"/>
  <c r="J363" i="18"/>
  <c r="I316" i="41"/>
  <c r="I170" i="41"/>
  <c r="I159" i="41"/>
  <c r="O8" i="41"/>
  <c r="J100" i="18"/>
  <c r="F100" i="18"/>
  <c r="I328" i="41"/>
  <c r="J394" i="18"/>
  <c r="F394" i="18"/>
  <c r="I308" i="41"/>
  <c r="G83" i="74" l="1"/>
  <c r="AB135" i="66"/>
  <c r="AC135" i="66" s="1"/>
  <c r="O120" i="74"/>
  <c r="AC136" i="74"/>
  <c r="AD136" i="74" s="1"/>
  <c r="AD130" i="74"/>
  <c r="C13" i="75" s="1"/>
  <c r="C28" i="75"/>
  <c r="AD121" i="74"/>
  <c r="C9" i="75" s="1"/>
  <c r="C24" i="75"/>
  <c r="O63" i="74"/>
  <c r="AD115" i="74"/>
  <c r="C7" i="75" s="1"/>
  <c r="C22" i="75"/>
  <c r="AD111" i="74"/>
  <c r="C6" i="75" s="1"/>
  <c r="C21" i="75"/>
  <c r="Z279" i="66"/>
  <c r="AA135" i="66"/>
  <c r="G82" i="74"/>
  <c r="O82" i="74" s="1"/>
  <c r="G90" i="74"/>
  <c r="G73" i="74"/>
  <c r="AA279" i="66"/>
  <c r="AB280" i="66"/>
  <c r="AC280" i="66" s="1"/>
  <c r="G65" i="74"/>
  <c r="O53" i="74"/>
  <c r="G137" i="74"/>
  <c r="Z121" i="66"/>
  <c r="AB279" i="66"/>
  <c r="AC279" i="66" s="1"/>
  <c r="Z265" i="66"/>
  <c r="G74" i="74"/>
  <c r="G68" i="74"/>
  <c r="AA63" i="74"/>
  <c r="Z63" i="74"/>
  <c r="N231" i="66"/>
  <c r="K282" i="66"/>
  <c r="AB282" i="66" s="1"/>
  <c r="AC282" i="66" s="1"/>
  <c r="N87" i="66"/>
  <c r="N87" i="74" s="1"/>
  <c r="AC87" i="74" s="1"/>
  <c r="AD87" i="74" s="1"/>
  <c r="K113" i="66"/>
  <c r="J457" i="58"/>
  <c r="G232" i="66"/>
  <c r="O232" i="66" s="1"/>
  <c r="K126" i="66"/>
  <c r="K126" i="74" s="1"/>
  <c r="AA136" i="74"/>
  <c r="AC62" i="74"/>
  <c r="AD62" i="74" s="1"/>
  <c r="O62" i="74"/>
  <c r="AC72" i="74"/>
  <c r="AD72" i="74" s="1"/>
  <c r="O72" i="74"/>
  <c r="AA53" i="74"/>
  <c r="Z53" i="74"/>
  <c r="O67" i="74"/>
  <c r="AC67" i="74"/>
  <c r="AD67" i="74" s="1"/>
  <c r="O87" i="74"/>
  <c r="AA121" i="66"/>
  <c r="Z259" i="66"/>
  <c r="Z135" i="66"/>
  <c r="Z254" i="66"/>
  <c r="Z245" i="66"/>
  <c r="AB231" i="66"/>
  <c r="AC231" i="66" s="1"/>
  <c r="G23" i="39"/>
  <c r="AB232" i="66"/>
  <c r="AC232" i="66" s="1"/>
  <c r="AB136" i="66"/>
  <c r="AC136" i="66" s="1"/>
  <c r="AB216" i="66"/>
  <c r="AC216" i="66" s="1"/>
  <c r="AB206" i="66"/>
  <c r="AC206" i="66" s="1"/>
  <c r="J464" i="37"/>
  <c r="J464" i="41" s="1"/>
  <c r="AB63" i="66"/>
  <c r="AC63" i="66" s="1"/>
  <c r="Z120" i="66"/>
  <c r="AB53" i="66"/>
  <c r="AC53" i="66" s="1"/>
  <c r="AB62" i="66"/>
  <c r="AC62" i="66" s="1"/>
  <c r="AB211" i="66"/>
  <c r="AC211" i="66" s="1"/>
  <c r="AB207" i="66"/>
  <c r="AC207" i="66" s="1"/>
  <c r="AA245" i="66"/>
  <c r="Z101" i="66"/>
  <c r="AB197" i="66"/>
  <c r="AC197" i="66" s="1"/>
  <c r="AB226" i="66"/>
  <c r="AC226" i="66" s="1"/>
  <c r="AB87" i="66"/>
  <c r="AC87" i="66" s="1"/>
  <c r="AB217" i="66"/>
  <c r="AC217" i="66" s="1"/>
  <c r="AB67" i="66"/>
  <c r="AC67" i="66" s="1"/>
  <c r="AC270" i="66"/>
  <c r="AB72" i="66"/>
  <c r="AC72" i="66" s="1"/>
  <c r="AB73" i="66"/>
  <c r="AC73" i="66" s="1"/>
  <c r="AB82" i="66"/>
  <c r="AC82" i="66" s="1"/>
  <c r="J495" i="58"/>
  <c r="J495" i="41" s="1"/>
  <c r="F17" i="8"/>
  <c r="AA115" i="66"/>
  <c r="AA259" i="66"/>
  <c r="O53" i="66"/>
  <c r="I5" i="6" s="1"/>
  <c r="O63" i="66"/>
  <c r="O197" i="66"/>
  <c r="O206" i="66"/>
  <c r="O82" i="66"/>
  <c r="O226" i="66"/>
  <c r="Z264" i="66"/>
  <c r="O211" i="66"/>
  <c r="O207" i="66"/>
  <c r="O67" i="66"/>
  <c r="AA264" i="66"/>
  <c r="O72" i="66"/>
  <c r="AA120" i="66"/>
  <c r="O73" i="66"/>
  <c r="Z73" i="66" s="1"/>
  <c r="O62" i="66"/>
  <c r="Z206" i="66" s="1"/>
  <c r="O136" i="66"/>
  <c r="AA280" i="66" s="1"/>
  <c r="O216" i="66"/>
  <c r="O217" i="66"/>
  <c r="K257" i="66"/>
  <c r="J496" i="58"/>
  <c r="G277" i="66" s="1"/>
  <c r="J457" i="37"/>
  <c r="L49" i="39"/>
  <c r="E164" i="38" s="1"/>
  <c r="I457" i="58" s="1"/>
  <c r="J497" i="37"/>
  <c r="J496" i="37"/>
  <c r="D50" i="39"/>
  <c r="E114" i="38" s="1"/>
  <c r="D51" i="39"/>
  <c r="E115" i="38" s="1"/>
  <c r="D49" i="39"/>
  <c r="E113" i="38" s="1"/>
  <c r="L47" i="39"/>
  <c r="E162" i="38" s="1"/>
  <c r="E402" i="38"/>
  <c r="I496" i="58" s="1"/>
  <c r="O231" i="66"/>
  <c r="L51" i="39"/>
  <c r="E166" i="38" s="1"/>
  <c r="E163" i="38"/>
  <c r="E328" i="38"/>
  <c r="E334" i="38"/>
  <c r="I464" i="58"/>
  <c r="K222" i="66"/>
  <c r="G89" i="66"/>
  <c r="E15" i="53"/>
  <c r="F15" i="53" s="1"/>
  <c r="I494" i="41"/>
  <c r="D47" i="39"/>
  <c r="E399" i="38"/>
  <c r="J465" i="37"/>
  <c r="J465" i="41" s="1"/>
  <c r="K138" i="66"/>
  <c r="K138" i="74" s="1"/>
  <c r="Q138" i="74" s="1"/>
  <c r="N8" i="41"/>
  <c r="H27" i="53"/>
  <c r="G27" i="53" s="1"/>
  <c r="E179" i="38"/>
  <c r="AA197" i="66"/>
  <c r="E346" i="38"/>
  <c r="E340" i="38"/>
  <c r="K266" i="66"/>
  <c r="J456" i="58"/>
  <c r="D48" i="39"/>
  <c r="H22" i="53"/>
  <c r="G22" i="53" s="1"/>
  <c r="Z136" i="66"/>
  <c r="X126" i="66"/>
  <c r="Q126" i="66"/>
  <c r="T126" i="66"/>
  <c r="E409" i="38"/>
  <c r="G133" i="66"/>
  <c r="Z62" i="66"/>
  <c r="AA62" i="66"/>
  <c r="H33" i="53"/>
  <c r="G33" i="53" s="1"/>
  <c r="Z217" i="66"/>
  <c r="O126" i="66"/>
  <c r="X282" i="66"/>
  <c r="T282" i="66"/>
  <c r="Q282" i="66"/>
  <c r="O282" i="66"/>
  <c r="G132" i="66"/>
  <c r="E408" i="38"/>
  <c r="J497" i="41"/>
  <c r="G233" i="66"/>
  <c r="E21" i="53"/>
  <c r="F21" i="53" s="1"/>
  <c r="C31" i="63"/>
  <c r="E128" i="38"/>
  <c r="O87" i="66"/>
  <c r="N7" i="41"/>
  <c r="N9" i="41"/>
  <c r="K122" i="66"/>
  <c r="K122" i="74" s="1"/>
  <c r="X122" i="74" s="1"/>
  <c r="J456" i="37"/>
  <c r="G88" i="66"/>
  <c r="G88" i="74" s="1"/>
  <c r="O88" i="74" s="1"/>
  <c r="I493" i="41"/>
  <c r="H16" i="53"/>
  <c r="G16" i="53" s="1"/>
  <c r="X270" i="66"/>
  <c r="T270" i="66"/>
  <c r="Q270" i="66"/>
  <c r="O270" i="66"/>
  <c r="G276" i="66"/>
  <c r="E414" i="38"/>
  <c r="K113" i="74" l="1"/>
  <c r="X113" i="74" s="1"/>
  <c r="J457" i="41"/>
  <c r="J496" i="41"/>
  <c r="G89" i="74"/>
  <c r="AC82" i="74"/>
  <c r="AD82" i="74" s="1"/>
  <c r="AC88" i="74"/>
  <c r="AD88" i="74" s="1"/>
  <c r="G132" i="74"/>
  <c r="G22" i="39"/>
  <c r="AB126" i="66"/>
  <c r="AC126" i="66" s="1"/>
  <c r="O122" i="74"/>
  <c r="P122" i="74" s="1"/>
  <c r="T122" i="74"/>
  <c r="AC122" i="74"/>
  <c r="G133" i="74"/>
  <c r="T113" i="66"/>
  <c r="AA216" i="66"/>
  <c r="Q122" i="74"/>
  <c r="O138" i="74"/>
  <c r="P138" i="74" s="1"/>
  <c r="Q113" i="66"/>
  <c r="C61" i="63"/>
  <c r="X113" i="66"/>
  <c r="AB113" i="66"/>
  <c r="AC113" i="66" s="1"/>
  <c r="AC138" i="74"/>
  <c r="AA217" i="66"/>
  <c r="T138" i="74"/>
  <c r="O73" i="74"/>
  <c r="AC73" i="74"/>
  <c r="AD73" i="74" s="1"/>
  <c r="E415" i="38"/>
  <c r="X138" i="74"/>
  <c r="O113" i="66"/>
  <c r="I465" i="37"/>
  <c r="Z67" i="74"/>
  <c r="AA67" i="74"/>
  <c r="Q113" i="74"/>
  <c r="T113" i="74"/>
  <c r="O113" i="74"/>
  <c r="P113" i="74" s="1"/>
  <c r="I464" i="37"/>
  <c r="I464" i="41" s="1"/>
  <c r="AA53" i="66"/>
  <c r="K209" i="66"/>
  <c r="AB209" i="66" s="1"/>
  <c r="AC209" i="66" s="1"/>
  <c r="Z136" i="74"/>
  <c r="Z67" i="66"/>
  <c r="Z82" i="74"/>
  <c r="AA82" i="74"/>
  <c r="AA72" i="74"/>
  <c r="Z72" i="74"/>
  <c r="X126" i="74"/>
  <c r="Q126" i="74"/>
  <c r="T126" i="74"/>
  <c r="N275" i="66"/>
  <c r="I465" i="58"/>
  <c r="I465" i="41" s="1"/>
  <c r="Z88" i="74"/>
  <c r="Z62" i="74"/>
  <c r="AA62" i="74"/>
  <c r="AA88" i="74"/>
  <c r="AA87" i="74"/>
  <c r="AA122" i="74"/>
  <c r="I457" i="37"/>
  <c r="I457" i="41" s="1"/>
  <c r="AA206" i="66"/>
  <c r="AA73" i="66"/>
  <c r="Z63" i="66"/>
  <c r="AA67" i="66"/>
  <c r="AA226" i="66"/>
  <c r="AA72" i="66"/>
  <c r="Z211" i="66"/>
  <c r="AA82" i="66"/>
  <c r="Z226" i="66"/>
  <c r="Z82" i="66"/>
  <c r="AB122" i="66"/>
  <c r="AC122" i="66" s="1"/>
  <c r="Z216" i="66"/>
  <c r="AB266" i="66"/>
  <c r="AC266" i="66" s="1"/>
  <c r="K78" i="66"/>
  <c r="K78" i="74" s="1"/>
  <c r="AB138" i="66"/>
  <c r="AC138" i="66" s="1"/>
  <c r="AB88" i="66"/>
  <c r="AC88" i="66" s="1"/>
  <c r="AB222" i="66"/>
  <c r="AC222" i="66" s="1"/>
  <c r="AB257" i="66"/>
  <c r="AC257" i="66" s="1"/>
  <c r="Z53" i="66"/>
  <c r="AA211" i="66"/>
  <c r="O257" i="66"/>
  <c r="X257" i="66"/>
  <c r="Z197" i="66"/>
  <c r="O88" i="66"/>
  <c r="Z88" i="66" s="1"/>
  <c r="Z280" i="66"/>
  <c r="AA136" i="66"/>
  <c r="AA63" i="66"/>
  <c r="T257" i="66"/>
  <c r="Z72" i="66"/>
  <c r="AA207" i="66"/>
  <c r="Q257" i="66"/>
  <c r="Z207" i="66"/>
  <c r="K90" i="66"/>
  <c r="K65" i="66"/>
  <c r="K65" i="74" s="1"/>
  <c r="P270" i="66"/>
  <c r="V270" i="66" s="1"/>
  <c r="I495" i="58"/>
  <c r="C51" i="63" s="1"/>
  <c r="I497" i="58"/>
  <c r="E412" i="38" s="1"/>
  <c r="J456" i="41"/>
  <c r="K234" i="66"/>
  <c r="F23" i="39"/>
  <c r="E304" i="38"/>
  <c r="E310" i="38"/>
  <c r="E345" i="38"/>
  <c r="E339" i="38"/>
  <c r="J487" i="37"/>
  <c r="M133" i="66"/>
  <c r="E112" i="38"/>
  <c r="D32" i="53"/>
  <c r="F32" i="53" s="1"/>
  <c r="K260" i="66"/>
  <c r="J455" i="58"/>
  <c r="I496" i="37"/>
  <c r="I497" i="37"/>
  <c r="I495" i="37"/>
  <c r="Q122" i="66"/>
  <c r="X122" i="66"/>
  <c r="T122" i="66"/>
  <c r="O122" i="66"/>
  <c r="G21" i="39"/>
  <c r="M277" i="66"/>
  <c r="J487" i="58"/>
  <c r="H15" i="53"/>
  <c r="G15" i="53" s="1"/>
  <c r="X222" i="66"/>
  <c r="T222" i="66"/>
  <c r="Q222" i="66"/>
  <c r="X266" i="66"/>
  <c r="T266" i="66"/>
  <c r="Q266" i="66"/>
  <c r="O266" i="66"/>
  <c r="E111" i="38"/>
  <c r="D18" i="8"/>
  <c r="N131" i="66"/>
  <c r="N131" i="74" s="1"/>
  <c r="M132" i="66"/>
  <c r="J488" i="37"/>
  <c r="O222" i="66"/>
  <c r="J483" i="37"/>
  <c r="M131" i="66"/>
  <c r="M131" i="74" s="1"/>
  <c r="Q131" i="74" s="1"/>
  <c r="E333" i="38"/>
  <c r="E327" i="38"/>
  <c r="H21" i="53"/>
  <c r="G21" i="53" s="1"/>
  <c r="Z232" i="66"/>
  <c r="G228" i="66"/>
  <c r="E413" i="38"/>
  <c r="G229" i="66"/>
  <c r="E316" i="38"/>
  <c r="E322" i="38"/>
  <c r="J488" i="58"/>
  <c r="M276" i="66"/>
  <c r="O276" i="66" s="1"/>
  <c r="T209" i="66"/>
  <c r="X209" i="66"/>
  <c r="Q209" i="66"/>
  <c r="X78" i="66"/>
  <c r="T78" i="66"/>
  <c r="K116" i="66"/>
  <c r="K116" i="74" s="1"/>
  <c r="X116" i="74" s="1"/>
  <c r="D26" i="53"/>
  <c r="F26" i="53" s="1"/>
  <c r="J455" i="37"/>
  <c r="T138" i="66"/>
  <c r="X138" i="66"/>
  <c r="Q138" i="66"/>
  <c r="O138" i="66"/>
  <c r="P282" i="66" s="1"/>
  <c r="G24" i="39"/>
  <c r="M275" i="66"/>
  <c r="J483" i="58"/>
  <c r="Z231" i="66"/>
  <c r="AA231" i="66"/>
  <c r="AA87" i="66"/>
  <c r="Z87" i="66"/>
  <c r="O209" i="66"/>
  <c r="W270" i="66"/>
  <c r="Y270" i="66" s="1"/>
  <c r="K218" i="66"/>
  <c r="I456" i="58"/>
  <c r="Z270" i="66"/>
  <c r="AA270" i="66"/>
  <c r="Z126" i="66"/>
  <c r="AA126" i="66"/>
  <c r="P126" i="66"/>
  <c r="I455" i="58"/>
  <c r="K212" i="66"/>
  <c r="D20" i="53"/>
  <c r="F20" i="53" s="1"/>
  <c r="AC113" i="74" l="1"/>
  <c r="AD113" i="74" s="1"/>
  <c r="Z122" i="74"/>
  <c r="AD122" i="74"/>
  <c r="Q78" i="66"/>
  <c r="AD138" i="74"/>
  <c r="C14" i="75" s="1"/>
  <c r="C29" i="75"/>
  <c r="O132" i="66"/>
  <c r="M132" i="74"/>
  <c r="Q132" i="74" s="1"/>
  <c r="X65" i="66"/>
  <c r="O131" i="74"/>
  <c r="P131" i="74" s="1"/>
  <c r="Z73" i="74"/>
  <c r="AA73" i="74"/>
  <c r="AC131" i="74"/>
  <c r="AD131" i="74" s="1"/>
  <c r="O133" i="66"/>
  <c r="M133" i="74"/>
  <c r="T116" i="74"/>
  <c r="X90" i="66"/>
  <c r="K90" i="74"/>
  <c r="T90" i="74" s="1"/>
  <c r="P257" i="66"/>
  <c r="V257" i="66" s="1"/>
  <c r="Z87" i="74"/>
  <c r="Q65" i="74"/>
  <c r="X65" i="74"/>
  <c r="T65" i="74"/>
  <c r="O65" i="74"/>
  <c r="P65" i="74" s="1"/>
  <c r="AC65" i="74"/>
  <c r="AD65" i="74" s="1"/>
  <c r="V122" i="74"/>
  <c r="W122" i="74"/>
  <c r="Y122" i="74" s="1"/>
  <c r="R122" i="74"/>
  <c r="S122" i="74" s="1"/>
  <c r="U122" i="74" s="1"/>
  <c r="Z121" i="74"/>
  <c r="AA121" i="74"/>
  <c r="AC119" i="74"/>
  <c r="AD119" i="74" s="1"/>
  <c r="O119" i="74"/>
  <c r="P119" i="74" s="1"/>
  <c r="X78" i="74"/>
  <c r="Q78" i="74"/>
  <c r="T78" i="74"/>
  <c r="O78" i="74"/>
  <c r="P78" i="74" s="1"/>
  <c r="AC78" i="74"/>
  <c r="AD78" i="74" s="1"/>
  <c r="AA115" i="74"/>
  <c r="AA120" i="74"/>
  <c r="Z120" i="74"/>
  <c r="AA101" i="74"/>
  <c r="Z101" i="74"/>
  <c r="Q90" i="74"/>
  <c r="AC90" i="74"/>
  <c r="AD90" i="74" s="1"/>
  <c r="AA110" i="74"/>
  <c r="Z110" i="74"/>
  <c r="Z115" i="74"/>
  <c r="AA113" i="74"/>
  <c r="Z113" i="74"/>
  <c r="N227" i="66"/>
  <c r="N281" i="66"/>
  <c r="AA138" i="74"/>
  <c r="Z138" i="74"/>
  <c r="AA111" i="74"/>
  <c r="Z111" i="74"/>
  <c r="O135" i="74"/>
  <c r="AC135" i="74"/>
  <c r="AD135" i="74" s="1"/>
  <c r="Z130" i="74"/>
  <c r="AA130" i="74"/>
  <c r="O126" i="74"/>
  <c r="P126" i="74" s="1"/>
  <c r="AC126" i="74"/>
  <c r="AD126" i="74" s="1"/>
  <c r="T90" i="66"/>
  <c r="AA113" i="66"/>
  <c r="Z257" i="66"/>
  <c r="AA257" i="66"/>
  <c r="Z113" i="66"/>
  <c r="P113" i="66"/>
  <c r="R270" i="66"/>
  <c r="S270" i="66" s="1"/>
  <c r="U270" i="66" s="1"/>
  <c r="AA232" i="66"/>
  <c r="AA88" i="66"/>
  <c r="AB131" i="66"/>
  <c r="AC131" i="66" s="1"/>
  <c r="AB275" i="66"/>
  <c r="AC275" i="66" s="1"/>
  <c r="AB132" i="66"/>
  <c r="AB133" i="66"/>
  <c r="AC133" i="66" s="1"/>
  <c r="AB218" i="66"/>
  <c r="AC218" i="66" s="1"/>
  <c r="AB65" i="66"/>
  <c r="AC65" i="66" s="1"/>
  <c r="AB277" i="66"/>
  <c r="AC277" i="66" s="1"/>
  <c r="AB90" i="66"/>
  <c r="AC90" i="66" s="1"/>
  <c r="O78" i="66"/>
  <c r="P222" i="66" s="1"/>
  <c r="AB78" i="66"/>
  <c r="AC78" i="66" s="1"/>
  <c r="AB234" i="66"/>
  <c r="AC234" i="66" s="1"/>
  <c r="AB276" i="66"/>
  <c r="AC276" i="66" s="1"/>
  <c r="AC132" i="66"/>
  <c r="F22" i="39"/>
  <c r="O90" i="66"/>
  <c r="Q234" i="66"/>
  <c r="Q90" i="66"/>
  <c r="T65" i="66"/>
  <c r="X234" i="66"/>
  <c r="Q65" i="66"/>
  <c r="T234" i="66"/>
  <c r="O65" i="66"/>
  <c r="P209" i="66" s="1"/>
  <c r="O234" i="66"/>
  <c r="F24" i="39"/>
  <c r="Z276" i="66"/>
  <c r="AA132" i="66"/>
  <c r="Z132" i="66"/>
  <c r="AA276" i="66"/>
  <c r="P132" i="66"/>
  <c r="E303" i="38"/>
  <c r="E309" i="38"/>
  <c r="E321" i="38"/>
  <c r="E315" i="38"/>
  <c r="J455" i="41"/>
  <c r="T116" i="66"/>
  <c r="X116" i="66"/>
  <c r="X212" i="66"/>
  <c r="T212" i="66"/>
  <c r="K74" i="66"/>
  <c r="K74" i="74" s="1"/>
  <c r="T74" i="74" s="1"/>
  <c r="I456" i="37"/>
  <c r="I456" i="41" s="1"/>
  <c r="X218" i="66"/>
  <c r="Q218" i="66"/>
  <c r="T218" i="66"/>
  <c r="O218" i="66"/>
  <c r="Q133" i="66"/>
  <c r="I488" i="58"/>
  <c r="M228" i="66"/>
  <c r="AB228" i="66" s="1"/>
  <c r="AA65" i="66"/>
  <c r="J487" i="41"/>
  <c r="R126" i="66"/>
  <c r="S126" i="66" s="1"/>
  <c r="U126" i="66" s="1"/>
  <c r="V126" i="66"/>
  <c r="W126" i="66"/>
  <c r="Y126" i="66" s="1"/>
  <c r="J482" i="37"/>
  <c r="M137" i="66"/>
  <c r="C21" i="63"/>
  <c r="I495" i="41"/>
  <c r="J482" i="58"/>
  <c r="M281" i="66"/>
  <c r="P276" i="66"/>
  <c r="AA209" i="66"/>
  <c r="D17" i="8"/>
  <c r="N137" i="66"/>
  <c r="N137" i="74" s="1"/>
  <c r="D14" i="53"/>
  <c r="F14" i="53" s="1"/>
  <c r="I455" i="37"/>
  <c r="K68" i="66"/>
  <c r="K68" i="74" s="1"/>
  <c r="X68" i="74" s="1"/>
  <c r="G84" i="66"/>
  <c r="G84" i="74" s="1"/>
  <c r="E406" i="38"/>
  <c r="I497" i="41"/>
  <c r="Q276" i="66"/>
  <c r="P266" i="66"/>
  <c r="G85" i="66"/>
  <c r="G85" i="74" s="1"/>
  <c r="I496" i="41"/>
  <c r="E407" i="38"/>
  <c r="P78" i="66"/>
  <c r="W113" i="66"/>
  <c r="Y113" i="66" s="1"/>
  <c r="V113" i="66"/>
  <c r="R113" i="66"/>
  <c r="S113" i="66" s="1"/>
  <c r="U113" i="66" s="1"/>
  <c r="I487" i="58"/>
  <c r="M229" i="66"/>
  <c r="R282" i="66"/>
  <c r="S282" i="66" s="1"/>
  <c r="U282" i="66" s="1"/>
  <c r="V282" i="66"/>
  <c r="W282" i="66"/>
  <c r="Y282" i="66" s="1"/>
  <c r="Q131" i="66"/>
  <c r="O131" i="66"/>
  <c r="AA222" i="66"/>
  <c r="H32" i="53"/>
  <c r="G32" i="53" s="1"/>
  <c r="J483" i="41"/>
  <c r="Q277" i="66"/>
  <c r="Z222" i="66"/>
  <c r="X260" i="66"/>
  <c r="T260" i="66"/>
  <c r="Z78" i="66"/>
  <c r="M227" i="66"/>
  <c r="I483" i="58"/>
  <c r="Q275" i="66"/>
  <c r="O275" i="66"/>
  <c r="J488" i="41"/>
  <c r="P122" i="66"/>
  <c r="Z266" i="66"/>
  <c r="AA266" i="66"/>
  <c r="Z122" i="66"/>
  <c r="AA122" i="66"/>
  <c r="H26" i="53"/>
  <c r="G26" i="53" s="1"/>
  <c r="AA78" i="66"/>
  <c r="Q132" i="66"/>
  <c r="N83" i="66"/>
  <c r="N83" i="74" s="1"/>
  <c r="C18" i="8"/>
  <c r="H14" i="53"/>
  <c r="P138" i="66"/>
  <c r="Z282" i="66"/>
  <c r="AA282" i="66"/>
  <c r="Z138" i="66"/>
  <c r="AA138" i="66"/>
  <c r="O277" i="66"/>
  <c r="P277" i="66" s="1"/>
  <c r="M83" i="66"/>
  <c r="M83" i="74" s="1"/>
  <c r="I483" i="37"/>
  <c r="M137" i="74" l="1"/>
  <c r="O137" i="74" s="1"/>
  <c r="P137" i="74" s="1"/>
  <c r="C25" i="75"/>
  <c r="O83" i="74"/>
  <c r="P83" i="74" s="1"/>
  <c r="AC132" i="74"/>
  <c r="AD132" i="74" s="1"/>
  <c r="C10" i="75"/>
  <c r="Q74" i="74"/>
  <c r="X90" i="74"/>
  <c r="Q83" i="74"/>
  <c r="AC137" i="74"/>
  <c r="X74" i="74"/>
  <c r="Q133" i="74"/>
  <c r="AC133" i="74"/>
  <c r="AD133" i="74" s="1"/>
  <c r="O90" i="74"/>
  <c r="P90" i="74" s="1"/>
  <c r="O132" i="74"/>
  <c r="P132" i="74" s="1"/>
  <c r="T68" i="74"/>
  <c r="P65" i="66"/>
  <c r="W65" i="66" s="1"/>
  <c r="Y65" i="66" s="1"/>
  <c r="W257" i="66"/>
  <c r="Y257" i="66" s="1"/>
  <c r="R257" i="66"/>
  <c r="S257" i="66" s="1"/>
  <c r="U257" i="66" s="1"/>
  <c r="AC74" i="74"/>
  <c r="AD74" i="74" s="1"/>
  <c r="AC83" i="74"/>
  <c r="AD83" i="74" s="1"/>
  <c r="O74" i="74"/>
  <c r="P74" i="74" s="1"/>
  <c r="O133" i="74"/>
  <c r="Z131" i="74"/>
  <c r="Z137" i="74"/>
  <c r="AA90" i="74"/>
  <c r="Z78" i="74"/>
  <c r="AA78" i="74"/>
  <c r="AA83" i="74"/>
  <c r="Z83" i="74"/>
  <c r="AA132" i="74"/>
  <c r="Z132" i="74"/>
  <c r="V113" i="74"/>
  <c r="R113" i="74"/>
  <c r="S113" i="74" s="1"/>
  <c r="U113" i="74" s="1"/>
  <c r="W113" i="74"/>
  <c r="Y113" i="74" s="1"/>
  <c r="AA135" i="74"/>
  <c r="Z135" i="74"/>
  <c r="V138" i="74"/>
  <c r="W138" i="74"/>
  <c r="Y138" i="74" s="1"/>
  <c r="R138" i="74"/>
  <c r="S138" i="74" s="1"/>
  <c r="U138" i="74" s="1"/>
  <c r="AA119" i="74"/>
  <c r="Z119" i="74"/>
  <c r="Z65" i="74"/>
  <c r="AA65" i="74"/>
  <c r="O71" i="74"/>
  <c r="P71" i="74" s="1"/>
  <c r="AC71" i="74"/>
  <c r="AD71" i="74" s="1"/>
  <c r="AA126" i="74"/>
  <c r="Z126" i="74"/>
  <c r="AA131" i="74"/>
  <c r="N233" i="66"/>
  <c r="O228" i="66"/>
  <c r="W222" i="66"/>
  <c r="Y222" i="66" s="1"/>
  <c r="V222" i="66"/>
  <c r="R222" i="66"/>
  <c r="S222" i="66" s="1"/>
  <c r="U222" i="66" s="1"/>
  <c r="AB137" i="66"/>
  <c r="AC137" i="66" s="1"/>
  <c r="AB229" i="66"/>
  <c r="AC229" i="66" s="1"/>
  <c r="AB227" i="66"/>
  <c r="AC227" i="66" s="1"/>
  <c r="AB83" i="66"/>
  <c r="AC83" i="66" s="1"/>
  <c r="AB74" i="66"/>
  <c r="AC74" i="66" s="1"/>
  <c r="AB281" i="66"/>
  <c r="AC281" i="66" s="1"/>
  <c r="AC228" i="66"/>
  <c r="Z209" i="66"/>
  <c r="Z65" i="66"/>
  <c r="I483" i="41"/>
  <c r="W209" i="66"/>
  <c r="Y209" i="66" s="1"/>
  <c r="R209" i="66"/>
  <c r="S209" i="66" s="1"/>
  <c r="U209" i="66" s="1"/>
  <c r="V209" i="66"/>
  <c r="AA277" i="66"/>
  <c r="P90" i="66"/>
  <c r="AA234" i="66"/>
  <c r="Z234" i="66"/>
  <c r="P234" i="66"/>
  <c r="AA90" i="66"/>
  <c r="Z90" i="66"/>
  <c r="J482" i="41"/>
  <c r="E326" i="38"/>
  <c r="E332" i="38"/>
  <c r="Q229" i="66"/>
  <c r="Z133" i="66"/>
  <c r="E344" i="38"/>
  <c r="E338" i="38"/>
  <c r="Q137" i="66"/>
  <c r="O137" i="66"/>
  <c r="P133" i="66"/>
  <c r="Q83" i="66"/>
  <c r="O83" i="66"/>
  <c r="AA133" i="66"/>
  <c r="I482" i="58"/>
  <c r="M233" i="66"/>
  <c r="V122" i="66"/>
  <c r="W122" i="66"/>
  <c r="Y122" i="66" s="1"/>
  <c r="R122" i="66"/>
  <c r="S122" i="66" s="1"/>
  <c r="U122" i="66" s="1"/>
  <c r="Q227" i="66"/>
  <c r="O227" i="66"/>
  <c r="W138" i="66"/>
  <c r="Y138" i="66" s="1"/>
  <c r="R138" i="66"/>
  <c r="S138" i="66" s="1"/>
  <c r="U138" i="66" s="1"/>
  <c r="V138" i="66"/>
  <c r="Z277" i="66"/>
  <c r="W78" i="66"/>
  <c r="Y78" i="66" s="1"/>
  <c r="V78" i="66"/>
  <c r="R78" i="66"/>
  <c r="S78" i="66" s="1"/>
  <c r="U78" i="66" s="1"/>
  <c r="M84" i="66"/>
  <c r="M84" i="74" s="1"/>
  <c r="O84" i="74" s="1"/>
  <c r="P84" i="74" s="1"/>
  <c r="I488" i="37"/>
  <c r="I488" i="41" s="1"/>
  <c r="R276" i="66"/>
  <c r="S276" i="66" s="1"/>
  <c r="U276" i="66" s="1"/>
  <c r="W276" i="66"/>
  <c r="Y276" i="66" s="1"/>
  <c r="V276" i="66"/>
  <c r="Q228" i="66"/>
  <c r="C17" i="8"/>
  <c r="N89" i="66"/>
  <c r="I482" i="37"/>
  <c r="M89" i="66"/>
  <c r="M89" i="74" s="1"/>
  <c r="X68" i="66"/>
  <c r="T68" i="66"/>
  <c r="R132" i="66"/>
  <c r="S132" i="66" s="1"/>
  <c r="U132" i="66" s="1"/>
  <c r="W132" i="66"/>
  <c r="Y132" i="66" s="1"/>
  <c r="V132" i="66"/>
  <c r="P131" i="66"/>
  <c r="Z275" i="66"/>
  <c r="AA275" i="66"/>
  <c r="Z131" i="66"/>
  <c r="AA131" i="66"/>
  <c r="P275" i="66"/>
  <c r="I455" i="41"/>
  <c r="Q281" i="66"/>
  <c r="O281" i="66"/>
  <c r="G14" i="53"/>
  <c r="H20" i="53"/>
  <c r="G20" i="53" s="1"/>
  <c r="X74" i="66"/>
  <c r="Q74" i="66"/>
  <c r="T74" i="66"/>
  <c r="O74" i="66"/>
  <c r="P218" i="66" s="1"/>
  <c r="F21" i="39"/>
  <c r="V266" i="66"/>
  <c r="R266" i="66"/>
  <c r="S266" i="66" s="1"/>
  <c r="U266" i="66" s="1"/>
  <c r="W266" i="66"/>
  <c r="Y266" i="66" s="1"/>
  <c r="R277" i="66"/>
  <c r="S277" i="66" s="1"/>
  <c r="U277" i="66" s="1"/>
  <c r="W277" i="66"/>
  <c r="Y277" i="66" s="1"/>
  <c r="V277" i="66"/>
  <c r="O229" i="66"/>
  <c r="I487" i="37"/>
  <c r="I487" i="41" s="1"/>
  <c r="M85" i="66"/>
  <c r="M85" i="74" s="1"/>
  <c r="O85" i="74" s="1"/>
  <c r="AA74" i="74" l="1"/>
  <c r="Q137" i="74"/>
  <c r="AD137" i="74"/>
  <c r="C8" i="75" s="1"/>
  <c r="C23" i="75"/>
  <c r="N89" i="74"/>
  <c r="O89" i="74" s="1"/>
  <c r="Z90" i="74"/>
  <c r="Z74" i="74"/>
  <c r="P85" i="74"/>
  <c r="AA85" i="74"/>
  <c r="Z85" i="74"/>
  <c r="R65" i="66"/>
  <c r="S65" i="66" s="1"/>
  <c r="U65" i="66" s="1"/>
  <c r="Q85" i="74"/>
  <c r="AC85" i="74"/>
  <c r="AD85" i="74" s="1"/>
  <c r="Q84" i="74"/>
  <c r="AC84" i="74"/>
  <c r="AD84" i="74" s="1"/>
  <c r="P133" i="74"/>
  <c r="AA133" i="74"/>
  <c r="Z133" i="74"/>
  <c r="V65" i="66"/>
  <c r="Q89" i="74"/>
  <c r="T104" i="74"/>
  <c r="X104" i="74"/>
  <c r="X103" i="74"/>
  <c r="T103" i="74"/>
  <c r="U103" i="74" s="1"/>
  <c r="S104" i="74"/>
  <c r="Q104" i="74"/>
  <c r="W104" i="74" s="1"/>
  <c r="X56" i="74"/>
  <c r="T56" i="74"/>
  <c r="T55" i="74"/>
  <c r="U55" i="74" s="1"/>
  <c r="X55" i="74"/>
  <c r="AA137" i="74"/>
  <c r="V90" i="74"/>
  <c r="R90" i="74"/>
  <c r="S90" i="74" s="1"/>
  <c r="U90" i="74" s="1"/>
  <c r="W90" i="74"/>
  <c r="Y90" i="74" s="1"/>
  <c r="V83" i="74"/>
  <c r="R83" i="74"/>
  <c r="S83" i="74" s="1"/>
  <c r="U83" i="74" s="1"/>
  <c r="W83" i="74"/>
  <c r="Y83" i="74" s="1"/>
  <c r="V137" i="74"/>
  <c r="W137" i="74"/>
  <c r="Y137" i="74" s="1"/>
  <c r="R137" i="74"/>
  <c r="S137" i="74" s="1"/>
  <c r="U137" i="74" s="1"/>
  <c r="AA71" i="74"/>
  <c r="Z71" i="74"/>
  <c r="V131" i="74"/>
  <c r="W131" i="74"/>
  <c r="Y131" i="74" s="1"/>
  <c r="R131" i="74"/>
  <c r="S131" i="74" s="1"/>
  <c r="U131" i="74" s="1"/>
  <c r="V65" i="74"/>
  <c r="W65" i="74"/>
  <c r="Y65" i="74" s="1"/>
  <c r="R65" i="74"/>
  <c r="S65" i="74" s="1"/>
  <c r="U65" i="74" s="1"/>
  <c r="N260" i="66"/>
  <c r="V74" i="74"/>
  <c r="R74" i="74"/>
  <c r="S74" i="74" s="1"/>
  <c r="U74" i="74" s="1"/>
  <c r="W74" i="74"/>
  <c r="Y74" i="74" s="1"/>
  <c r="V78" i="74"/>
  <c r="R78" i="74"/>
  <c r="S78" i="74" s="1"/>
  <c r="U78" i="74" s="1"/>
  <c r="W78" i="74"/>
  <c r="Y78" i="74" s="1"/>
  <c r="V132" i="74"/>
  <c r="W132" i="74"/>
  <c r="Y132" i="74" s="1"/>
  <c r="R132" i="74"/>
  <c r="S132" i="74" s="1"/>
  <c r="U132" i="74" s="1"/>
  <c r="V85" i="74"/>
  <c r="R85" i="74"/>
  <c r="S85" i="74" s="1"/>
  <c r="U85" i="74" s="1"/>
  <c r="W85" i="74"/>
  <c r="Y85" i="74" s="1"/>
  <c r="Z84" i="74"/>
  <c r="AA84" i="74"/>
  <c r="V119" i="74"/>
  <c r="R119" i="74"/>
  <c r="S119" i="74" s="1"/>
  <c r="U119" i="74" s="1"/>
  <c r="W119" i="74"/>
  <c r="Y119" i="74" s="1"/>
  <c r="V126" i="74"/>
  <c r="W126" i="74"/>
  <c r="Y126" i="74" s="1"/>
  <c r="R126" i="74"/>
  <c r="S126" i="74" s="1"/>
  <c r="U126" i="74" s="1"/>
  <c r="AB89" i="66"/>
  <c r="AC89" i="66" s="1"/>
  <c r="AB233" i="66"/>
  <c r="AC233" i="66" s="1"/>
  <c r="AB84" i="66"/>
  <c r="AC84" i="66" s="1"/>
  <c r="AB85" i="66"/>
  <c r="AC85" i="66" s="1"/>
  <c r="P281" i="66"/>
  <c r="W281" i="66" s="1"/>
  <c r="Y281" i="66" s="1"/>
  <c r="R234" i="66"/>
  <c r="S234" i="66" s="1"/>
  <c r="U234" i="66" s="1"/>
  <c r="W234" i="66"/>
  <c r="Y234" i="66" s="1"/>
  <c r="V234" i="66"/>
  <c r="R90" i="66"/>
  <c r="S90" i="66" s="1"/>
  <c r="U90" i="66" s="1"/>
  <c r="W90" i="66"/>
  <c r="Y90" i="66" s="1"/>
  <c r="V90" i="66"/>
  <c r="R131" i="66"/>
  <c r="S131" i="66" s="1"/>
  <c r="U131" i="66" s="1"/>
  <c r="W131" i="66"/>
  <c r="Y131" i="66" s="1"/>
  <c r="V131" i="66"/>
  <c r="Q84" i="66"/>
  <c r="V133" i="66"/>
  <c r="W133" i="66"/>
  <c r="Y133" i="66" s="1"/>
  <c r="R133" i="66"/>
  <c r="S133" i="66" s="1"/>
  <c r="U133" i="66" s="1"/>
  <c r="W218" i="66"/>
  <c r="Y218" i="66" s="1"/>
  <c r="R218" i="66"/>
  <c r="S218" i="66" s="1"/>
  <c r="U218" i="66" s="1"/>
  <c r="V218" i="66"/>
  <c r="Q89" i="66"/>
  <c r="O89" i="66"/>
  <c r="AA281" i="66"/>
  <c r="Z137" i="66"/>
  <c r="P137" i="66"/>
  <c r="AA137" i="66"/>
  <c r="Z281" i="66"/>
  <c r="I482" i="41"/>
  <c r="Q85" i="66"/>
  <c r="AA218" i="66"/>
  <c r="P74" i="66"/>
  <c r="AA74" i="66"/>
  <c r="Z218" i="66"/>
  <c r="Z74" i="66"/>
  <c r="O84" i="66"/>
  <c r="J481" i="58"/>
  <c r="M260" i="66"/>
  <c r="Q233" i="66"/>
  <c r="O233" i="66"/>
  <c r="O85" i="66"/>
  <c r="E314" i="38"/>
  <c r="E320" i="38"/>
  <c r="E302" i="38"/>
  <c r="E308" i="38"/>
  <c r="P83" i="66"/>
  <c r="AA83" i="66"/>
  <c r="Z83" i="66"/>
  <c r="AA227" i="66"/>
  <c r="Z227" i="66"/>
  <c r="R275" i="66"/>
  <c r="S275" i="66" s="1"/>
  <c r="U275" i="66" s="1"/>
  <c r="V275" i="66"/>
  <c r="W275" i="66"/>
  <c r="Y275" i="66" s="1"/>
  <c r="D16" i="8"/>
  <c r="N116" i="66"/>
  <c r="P227" i="66"/>
  <c r="M116" i="66"/>
  <c r="M116" i="74" s="1"/>
  <c r="Q116" i="74" s="1"/>
  <c r="J481" i="37"/>
  <c r="P89" i="74" l="1"/>
  <c r="AA89" i="74"/>
  <c r="AC89" i="74"/>
  <c r="AD89" i="74" s="1"/>
  <c r="V133" i="74"/>
  <c r="W133" i="74"/>
  <c r="Y133" i="74" s="1"/>
  <c r="R133" i="74"/>
  <c r="S133" i="74" s="1"/>
  <c r="U133" i="74" s="1"/>
  <c r="G20" i="39"/>
  <c r="N116" i="74"/>
  <c r="AC116" i="74" s="1"/>
  <c r="AD116" i="74" s="1"/>
  <c r="U104" i="74"/>
  <c r="Y104" i="74"/>
  <c r="S56" i="74"/>
  <c r="U56" i="74" s="1"/>
  <c r="Q56" i="74"/>
  <c r="W56" i="74" s="1"/>
  <c r="Y56" i="74" s="1"/>
  <c r="Z89" i="74"/>
  <c r="V84" i="74"/>
  <c r="W84" i="74"/>
  <c r="Y84" i="74" s="1"/>
  <c r="R84" i="74"/>
  <c r="S84" i="74" s="1"/>
  <c r="U84" i="74" s="1"/>
  <c r="N212" i="66"/>
  <c r="V71" i="74"/>
  <c r="R71" i="74"/>
  <c r="S71" i="74" s="1"/>
  <c r="U71" i="74" s="1"/>
  <c r="W71" i="74"/>
  <c r="Y71" i="74" s="1"/>
  <c r="V89" i="74"/>
  <c r="R89" i="74"/>
  <c r="S89" i="74" s="1"/>
  <c r="U89" i="74" s="1"/>
  <c r="W89" i="74"/>
  <c r="Y89" i="74" s="1"/>
  <c r="AB116" i="66"/>
  <c r="AC116" i="66" s="1"/>
  <c r="AB260" i="66"/>
  <c r="AC260" i="66" s="1"/>
  <c r="R281" i="66"/>
  <c r="S281" i="66" s="1"/>
  <c r="U281" i="66" s="1"/>
  <c r="P233" i="66"/>
  <c r="R233" i="66" s="1"/>
  <c r="S233" i="66" s="1"/>
  <c r="U233" i="66" s="1"/>
  <c r="J481" i="41"/>
  <c r="V281" i="66"/>
  <c r="R83" i="66"/>
  <c r="S83" i="66" s="1"/>
  <c r="U83" i="66" s="1"/>
  <c r="W83" i="66"/>
  <c r="Y83" i="66" s="1"/>
  <c r="V83" i="66"/>
  <c r="R227" i="66"/>
  <c r="S227" i="66" s="1"/>
  <c r="U227" i="66" s="1"/>
  <c r="W227" i="66"/>
  <c r="Y227" i="66" s="1"/>
  <c r="V227" i="66"/>
  <c r="C16" i="8"/>
  <c r="N68" i="66"/>
  <c r="Q260" i="66"/>
  <c r="O260" i="66"/>
  <c r="P89" i="66"/>
  <c r="Z233" i="66"/>
  <c r="AA233" i="66"/>
  <c r="Z89" i="66"/>
  <c r="AA89" i="66"/>
  <c r="Q116" i="66"/>
  <c r="O116" i="66"/>
  <c r="I481" i="37"/>
  <c r="M68" i="66"/>
  <c r="M68" i="74" s="1"/>
  <c r="Q68" i="74" s="1"/>
  <c r="I481" i="58"/>
  <c r="M212" i="66"/>
  <c r="Z228" i="66"/>
  <c r="P84" i="66"/>
  <c r="AA84" i="66"/>
  <c r="AA228" i="66"/>
  <c r="Z84" i="66"/>
  <c r="P228" i="66"/>
  <c r="P85" i="66"/>
  <c r="Z85" i="66"/>
  <c r="Z229" i="66"/>
  <c r="AA229" i="66"/>
  <c r="AA85" i="66"/>
  <c r="P229" i="66"/>
  <c r="V74" i="66"/>
  <c r="R74" i="66"/>
  <c r="S74" i="66" s="1"/>
  <c r="U74" i="66" s="1"/>
  <c r="W74" i="66"/>
  <c r="Y74" i="66" s="1"/>
  <c r="R137" i="66"/>
  <c r="S137" i="66" s="1"/>
  <c r="U137" i="66" s="1"/>
  <c r="W137" i="66"/>
  <c r="Y137" i="66" s="1"/>
  <c r="V137" i="66"/>
  <c r="O116" i="74" l="1"/>
  <c r="F20" i="39"/>
  <c r="N68" i="74"/>
  <c r="O68" i="74" s="1"/>
  <c r="AA116" i="74"/>
  <c r="AB212" i="66"/>
  <c r="AC212" i="66" s="1"/>
  <c r="AB68" i="66"/>
  <c r="AC68" i="66" s="1"/>
  <c r="V233" i="66"/>
  <c r="W233" i="66"/>
  <c r="Y233" i="66" s="1"/>
  <c r="P260" i="66"/>
  <c r="R260" i="66" s="1"/>
  <c r="S260" i="66" s="1"/>
  <c r="U260" i="66" s="1"/>
  <c r="I481" i="41"/>
  <c r="Z260" i="66"/>
  <c r="AA116" i="66"/>
  <c r="P116" i="66"/>
  <c r="AA260" i="66"/>
  <c r="Z116" i="66"/>
  <c r="V84" i="66"/>
  <c r="R84" i="66"/>
  <c r="S84" i="66" s="1"/>
  <c r="U84" i="66" s="1"/>
  <c r="W84" i="66"/>
  <c r="Y84" i="66" s="1"/>
  <c r="W85" i="66"/>
  <c r="Y85" i="66" s="1"/>
  <c r="V85" i="66"/>
  <c r="R85" i="66"/>
  <c r="S85" i="66" s="1"/>
  <c r="U85" i="66" s="1"/>
  <c r="O212" i="66"/>
  <c r="Q212" i="66"/>
  <c r="R89" i="66"/>
  <c r="S89" i="66" s="1"/>
  <c r="U89" i="66" s="1"/>
  <c r="V89" i="66"/>
  <c r="W89" i="66"/>
  <c r="Y89" i="66" s="1"/>
  <c r="O68" i="66"/>
  <c r="Q68" i="66"/>
  <c r="V229" i="66"/>
  <c r="R229" i="66"/>
  <c r="S229" i="66" s="1"/>
  <c r="U229" i="66" s="1"/>
  <c r="W229" i="66"/>
  <c r="Y229" i="66" s="1"/>
  <c r="V228" i="66"/>
  <c r="W228" i="66"/>
  <c r="Y228" i="66" s="1"/>
  <c r="R228" i="66"/>
  <c r="S228" i="66" s="1"/>
  <c r="U228" i="66" s="1"/>
  <c r="P68" i="74" l="1"/>
  <c r="Z68" i="74"/>
  <c r="AA68" i="74"/>
  <c r="P116" i="74"/>
  <c r="Z116" i="74"/>
  <c r="AC68" i="74"/>
  <c r="AD68" i="74" s="1"/>
  <c r="V68" i="74"/>
  <c r="R68" i="74"/>
  <c r="S68" i="74" s="1"/>
  <c r="U68" i="74" s="1"/>
  <c r="W68" i="74"/>
  <c r="Y68" i="74" s="1"/>
  <c r="W260" i="66"/>
  <c r="Y260" i="66" s="1"/>
  <c r="V260" i="66"/>
  <c r="P212" i="66"/>
  <c r="W212" i="66" s="1"/>
  <c r="Y212" i="66" s="1"/>
  <c r="AA68" i="66"/>
  <c r="P68" i="66"/>
  <c r="Z68" i="66"/>
  <c r="AA212" i="66"/>
  <c r="Z212" i="66"/>
  <c r="W116" i="66"/>
  <c r="Y116" i="66" s="1"/>
  <c r="V116" i="66"/>
  <c r="R116" i="66"/>
  <c r="S116" i="66" s="1"/>
  <c r="U116" i="66" s="1"/>
  <c r="R116" i="74" l="1"/>
  <c r="S116" i="74" s="1"/>
  <c r="U116" i="74" s="1"/>
  <c r="V116" i="74"/>
  <c r="W116" i="74"/>
  <c r="Y116" i="74" s="1"/>
  <c r="V212" i="66"/>
  <c r="R212" i="66"/>
  <c r="S212" i="66" s="1"/>
  <c r="U212" i="66" s="1"/>
  <c r="R68" i="66"/>
  <c r="S68" i="66" s="1"/>
  <c r="U68" i="66" s="1"/>
  <c r="W68" i="66"/>
  <c r="Y68" i="66" s="1"/>
  <c r="V68" i="66"/>
  <c r="G189" i="72" l="1"/>
  <c r="G220" i="72"/>
  <c r="J4" i="37"/>
  <c r="J4" i="58"/>
  <c r="G158" i="72"/>
  <c r="G127" i="72"/>
  <c r="G96" i="72"/>
  <c r="G65" i="72"/>
  <c r="I4" i="58"/>
  <c r="I4" i="37"/>
  <c r="G251" i="72"/>
  <c r="G282" i="72"/>
  <c r="G34" i="72"/>
  <c r="G3" i="72"/>
  <c r="H283" i="72" l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G198" i="66"/>
  <c r="E25" i="53"/>
  <c r="N4" i="58"/>
  <c r="E19" i="53"/>
  <c r="I4" i="41"/>
  <c r="D45" i="39" s="1"/>
  <c r="G54" i="66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4" i="58"/>
  <c r="H4" i="37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G246" i="66"/>
  <c r="O4" i="58"/>
  <c r="E37" i="53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02" i="66"/>
  <c r="E31" i="53"/>
  <c r="J4" i="41"/>
  <c r="E45" i="39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L45" i="39" l="1"/>
  <c r="E158" i="38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107" i="38"/>
  <c r="D59" i="39"/>
  <c r="D60" i="39" s="1"/>
  <c r="D56" i="39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02" i="74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6" i="66"/>
  <c r="E7" i="53"/>
  <c r="H4" i="41"/>
  <c r="K45" i="39" s="1"/>
  <c r="E124" i="38"/>
  <c r="E59" i="39"/>
  <c r="E60" i="39" s="1"/>
  <c r="E56" i="39"/>
  <c r="E13" i="53"/>
  <c r="G150" i="66"/>
  <c r="M4" i="58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54" i="74"/>
  <c r="M45" i="39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C45" i="39" l="1"/>
  <c r="E90" i="38" s="1"/>
  <c r="L56" i="39"/>
  <c r="L59" i="39"/>
  <c r="L60" i="39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59" i="72"/>
  <c r="F159" i="72" s="1"/>
  <c r="D58" i="39"/>
  <c r="D57" i="39"/>
  <c r="K59" i="39"/>
  <c r="K60" i="39" s="1"/>
  <c r="K56" i="39"/>
  <c r="E141" i="38"/>
  <c r="E283" i="72"/>
  <c r="F283" i="72" s="1"/>
  <c r="D19" i="53"/>
  <c r="F19" i="53" s="1"/>
  <c r="H25" i="53" s="1"/>
  <c r="K54" i="66"/>
  <c r="I466" i="37"/>
  <c r="I474" i="37"/>
  <c r="E66" i="72"/>
  <c r="F66" i="72" s="1"/>
  <c r="G6" i="74"/>
  <c r="E128" i="72"/>
  <c r="F128" i="72" s="1"/>
  <c r="E35" i="72"/>
  <c r="F35" i="72" s="1"/>
  <c r="L58" i="39"/>
  <c r="L57" i="39"/>
  <c r="E58" i="39"/>
  <c r="E57" i="39"/>
  <c r="E175" i="38"/>
  <c r="M56" i="39"/>
  <c r="M59" i="39"/>
  <c r="M60" i="39" s="1"/>
  <c r="K102" i="66"/>
  <c r="J466" i="37"/>
  <c r="D31" i="53"/>
  <c r="F31" i="53" s="1"/>
  <c r="H37" i="53" s="1"/>
  <c r="J474" i="37"/>
  <c r="E190" i="72"/>
  <c r="F190" i="72" s="1"/>
  <c r="K198" i="66"/>
  <c r="I466" i="58"/>
  <c r="D25" i="53"/>
  <c r="F25" i="53" s="1"/>
  <c r="I474" i="58"/>
  <c r="C56" i="39" l="1"/>
  <c r="C59" i="39"/>
  <c r="C60" i="39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104" i="66"/>
  <c r="J479" i="37"/>
  <c r="D13" i="53"/>
  <c r="F13" i="53" s="1"/>
  <c r="H7" i="53" s="1"/>
  <c r="H466" i="58"/>
  <c r="K150" i="66"/>
  <c r="H474" i="58"/>
  <c r="G103" i="66"/>
  <c r="J489" i="37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I479" i="58"/>
  <c r="G200" i="66"/>
  <c r="X102" i="66"/>
  <c r="T102" i="66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36" i="72"/>
  <c r="F36" i="72" s="1"/>
  <c r="K58" i="39"/>
  <c r="K57" i="39"/>
  <c r="G25" i="53"/>
  <c r="H19" i="53"/>
  <c r="G19" i="53" s="1"/>
  <c r="K6" i="66"/>
  <c r="H474" i="37"/>
  <c r="D7" i="53"/>
  <c r="F7" i="53" s="1"/>
  <c r="H466" i="37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53" i="72"/>
  <c r="F253" i="72" s="1"/>
  <c r="K54" i="74"/>
  <c r="X198" i="66"/>
  <c r="T198" i="66"/>
  <c r="J466" i="58"/>
  <c r="D37" i="53"/>
  <c r="F37" i="53" s="1"/>
  <c r="K246" i="66"/>
  <c r="J474" i="58"/>
  <c r="J474" i="41" s="1"/>
  <c r="C58" i="39"/>
  <c r="C57" i="39"/>
  <c r="I466" i="41"/>
  <c r="G199" i="66"/>
  <c r="I489" i="58"/>
  <c r="M58" i="39"/>
  <c r="M57" i="39"/>
  <c r="G56" i="66"/>
  <c r="I479" i="37"/>
  <c r="I474" i="41"/>
  <c r="E222" i="72"/>
  <c r="F222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I489" i="37"/>
  <c r="G55" i="66"/>
  <c r="X54" i="66"/>
  <c r="T54" i="66"/>
  <c r="E98" i="72"/>
  <c r="F98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I489" i="41" l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67" i="72"/>
  <c r="F67" i="72" s="1"/>
  <c r="E129" i="72"/>
  <c r="F129" i="72" s="1"/>
  <c r="M103" i="66"/>
  <c r="AB103" i="66" s="1"/>
  <c r="AC103" i="66" s="1"/>
  <c r="H13" i="53"/>
  <c r="G13" i="53" s="1"/>
  <c r="G7" i="53"/>
  <c r="T150" i="66"/>
  <c r="X150" i="66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K102" i="74"/>
  <c r="T246" i="66"/>
  <c r="X246" i="66"/>
  <c r="H31" i="53"/>
  <c r="G31" i="53" s="1"/>
  <c r="G37" i="53"/>
  <c r="H474" i="41"/>
  <c r="H479" i="37"/>
  <c r="G8" i="66"/>
  <c r="H489" i="58"/>
  <c r="G151" i="66"/>
  <c r="G7" i="66"/>
  <c r="H489" i="37"/>
  <c r="H466" i="41"/>
  <c r="H479" i="58"/>
  <c r="G152" i="66"/>
  <c r="K6" i="74"/>
  <c r="X6" i="66"/>
  <c r="T6" i="66"/>
  <c r="E313" i="38"/>
  <c r="E307" i="38"/>
  <c r="I479" i="41"/>
  <c r="E360" i="38"/>
  <c r="L56" i="66" s="1"/>
  <c r="I480" i="37"/>
  <c r="J466" i="41"/>
  <c r="G247" i="66"/>
  <c r="J489" i="58"/>
  <c r="J489" i="41" s="1"/>
  <c r="G56" i="74"/>
  <c r="E319" i="38"/>
  <c r="E325" i="38"/>
  <c r="N198" i="66" s="1"/>
  <c r="J480" i="37"/>
  <c r="E366" i="38"/>
  <c r="L104" i="66" s="1"/>
  <c r="AB104" i="66" s="1"/>
  <c r="AC104" i="66" s="1"/>
  <c r="E6" i="72"/>
  <c r="F6" i="72" s="1"/>
  <c r="I480" i="58"/>
  <c r="E379" i="38" s="1"/>
  <c r="L219" i="66" s="1"/>
  <c r="E378" i="38"/>
  <c r="L200" i="66" s="1"/>
  <c r="O200" i="66" s="1"/>
  <c r="E284" i="72"/>
  <c r="F284" i="72" s="1"/>
  <c r="M199" i="66"/>
  <c r="Q199" i="66" s="1"/>
  <c r="E191" i="72"/>
  <c r="F191" i="72" s="1"/>
  <c r="G55" i="74"/>
  <c r="M55" i="66"/>
  <c r="AB55" i="66" s="1"/>
  <c r="AC55" i="66" s="1"/>
  <c r="X54" i="74"/>
  <c r="T54" i="74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248" i="66"/>
  <c r="G104" i="74" s="1"/>
  <c r="J479" i="58"/>
  <c r="J479" i="41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223" i="72" l="1"/>
  <c r="F223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O103" i="66"/>
  <c r="L56" i="74"/>
  <c r="AC56" i="74" s="1"/>
  <c r="AD56" i="74" s="1"/>
  <c r="E37" i="72"/>
  <c r="F37" i="72" s="1"/>
  <c r="T6" i="74"/>
  <c r="X6" i="74"/>
  <c r="M247" i="66"/>
  <c r="Q247" i="66" s="1"/>
  <c r="E349" i="38"/>
  <c r="N246" i="66" s="1"/>
  <c r="E343" i="38"/>
  <c r="E372" i="38"/>
  <c r="L152" i="66" s="1"/>
  <c r="O152" i="66" s="1"/>
  <c r="H480" i="58"/>
  <c r="E373" i="38" s="1"/>
  <c r="L171" i="66" s="1"/>
  <c r="E289" i="38"/>
  <c r="E283" i="38"/>
  <c r="E361" i="38"/>
  <c r="L75" i="66" s="1"/>
  <c r="I480" i="4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AB199" i="66"/>
  <c r="AC199" i="66" s="1"/>
  <c r="E295" i="38"/>
  <c r="E301" i="38"/>
  <c r="N150" i="66" s="1"/>
  <c r="E254" i="72"/>
  <c r="F254" i="72" s="1"/>
  <c r="O199" i="66"/>
  <c r="E367" i="38"/>
  <c r="L123" i="66" s="1"/>
  <c r="M54" i="66"/>
  <c r="I486" i="37"/>
  <c r="H489" i="41"/>
  <c r="E331" i="38"/>
  <c r="E337" i="38"/>
  <c r="C20" i="8"/>
  <c r="N54" i="66"/>
  <c r="M7" i="66"/>
  <c r="AB7" i="66" s="1"/>
  <c r="AC7" i="66" s="1"/>
  <c r="G7" i="74"/>
  <c r="X102" i="74"/>
  <c r="T102" i="74"/>
  <c r="AB200" i="66"/>
  <c r="AC200" i="66" s="1"/>
  <c r="M198" i="66"/>
  <c r="I486" i="58"/>
  <c r="M151" i="66"/>
  <c r="Q151" i="66" s="1"/>
  <c r="W151" i="66" s="1"/>
  <c r="Y151" i="66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103" i="74"/>
  <c r="O56" i="66"/>
  <c r="Q103" i="66"/>
  <c r="E384" i="38"/>
  <c r="L248" i="66" s="1"/>
  <c r="O248" i="66" s="1"/>
  <c r="J480" i="58"/>
  <c r="E385" i="38" s="1"/>
  <c r="L267" i="66" s="1"/>
  <c r="Q55" i="66"/>
  <c r="M55" i="74"/>
  <c r="Q55" i="74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8" i="74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AB219" i="66"/>
  <c r="AC219" i="66" s="1"/>
  <c r="O219" i="66"/>
  <c r="AB56" i="66"/>
  <c r="AC56" i="66" s="1"/>
  <c r="E354" i="38"/>
  <c r="L8" i="66" s="1"/>
  <c r="H480" i="37"/>
  <c r="H479" i="41"/>
  <c r="E161" i="72"/>
  <c r="F161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68" i="72"/>
  <c r="F68" i="72" s="1"/>
  <c r="O55" i="66"/>
  <c r="O104" i="66"/>
  <c r="M103" i="74" l="1"/>
  <c r="Q103" i="74" s="1"/>
  <c r="O56" i="74"/>
  <c r="AA56" i="74" s="1"/>
  <c r="AB247" i="66"/>
  <c r="AC247" i="66" s="1"/>
  <c r="O247" i="66"/>
  <c r="AB151" i="66"/>
  <c r="AC151" i="66" s="1"/>
  <c r="L104" i="74"/>
  <c r="AC104" i="74" s="1"/>
  <c r="AD104" i="74" s="1"/>
  <c r="AB248" i="66"/>
  <c r="AC248" i="66" s="1"/>
  <c r="L8" i="74"/>
  <c r="AC8" i="74" s="1"/>
  <c r="AD8" i="74" s="1"/>
  <c r="O7" i="66"/>
  <c r="Z248" i="66"/>
  <c r="AA248" i="66"/>
  <c r="Z104" i="66"/>
  <c r="AA104" i="66"/>
  <c r="E285" i="72"/>
  <c r="F285" i="72" s="1"/>
  <c r="O151" i="66"/>
  <c r="Z199" i="66"/>
  <c r="AA55" i="66"/>
  <c r="P55" i="66"/>
  <c r="Z55" i="66"/>
  <c r="AA199" i="66"/>
  <c r="Z56" i="74"/>
  <c r="M150" i="66"/>
  <c r="H486" i="58"/>
  <c r="J486" i="58"/>
  <c r="M246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192" i="72"/>
  <c r="F192" i="72" s="1"/>
  <c r="O267" i="66"/>
  <c r="AB267" i="66"/>
  <c r="AC267" i="66" s="1"/>
  <c r="Q198" i="66"/>
  <c r="AB198" i="66"/>
  <c r="AC198" i="66" s="1"/>
  <c r="O198" i="66"/>
  <c r="Q7" i="66"/>
  <c r="W7" i="66" s="1"/>
  <c r="Y7" i="66" s="1"/>
  <c r="M7" i="74"/>
  <c r="Q7" i="74" s="1"/>
  <c r="W7" i="74" s="1"/>
  <c r="Y7" i="74" s="1"/>
  <c r="E130" i="72"/>
  <c r="F130" i="72" s="1"/>
  <c r="N54" i="74"/>
  <c r="F18" i="39"/>
  <c r="I486" i="41"/>
  <c r="E100" i="72"/>
  <c r="F100" i="72" s="1"/>
  <c r="AC55" i="74"/>
  <c r="AD55" i="74" s="1"/>
  <c r="M54" i="74"/>
  <c r="Q54" i="66"/>
  <c r="O54" i="66"/>
  <c r="AB54" i="66"/>
  <c r="AC54" i="66" s="1"/>
  <c r="E7" i="72"/>
  <c r="F7" i="72" s="1"/>
  <c r="AB8" i="66"/>
  <c r="AC8" i="66" s="1"/>
  <c r="O55" i="74"/>
  <c r="AB152" i="66"/>
  <c r="AC152" i="66" s="1"/>
  <c r="J480" i="41"/>
  <c r="O8" i="66"/>
  <c r="Z56" i="66"/>
  <c r="AA200" i="66"/>
  <c r="Z200" i="66"/>
  <c r="AA56" i="66"/>
  <c r="N102" i="66"/>
  <c r="D20" i="8"/>
  <c r="AB123" i="66"/>
  <c r="AC123" i="66" s="1"/>
  <c r="L123" i="74"/>
  <c r="O123" i="66"/>
  <c r="AB75" i="66"/>
  <c r="AC75" i="66" s="1"/>
  <c r="L75" i="74"/>
  <c r="O75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O103" i="74"/>
  <c r="AC103" i="74"/>
  <c r="AD103" i="74" s="1"/>
  <c r="J486" i="37"/>
  <c r="M102" i="66"/>
  <c r="P199" i="66"/>
  <c r="M6" i="66"/>
  <c r="H486" i="37"/>
  <c r="E38" i="72"/>
  <c r="F38" i="72" s="1"/>
  <c r="E224" i="72"/>
  <c r="F224" i="72" s="1"/>
  <c r="O104" i="74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B20" i="8"/>
  <c r="N6" i="66"/>
  <c r="N6" i="74" s="1"/>
  <c r="E355" i="38"/>
  <c r="L27" i="66" s="1"/>
  <c r="H480" i="41"/>
  <c r="AB171" i="66"/>
  <c r="AC171" i="66" s="1"/>
  <c r="O171" i="66"/>
  <c r="O8" i="74" l="1"/>
  <c r="P151" i="66"/>
  <c r="J486" i="41"/>
  <c r="H486" i="41"/>
  <c r="P247" i="66"/>
  <c r="Z247" i="66"/>
  <c r="AA247" i="66"/>
  <c r="Z103" i="66"/>
  <c r="P103" i="66"/>
  <c r="AA103" i="66"/>
  <c r="AA151" i="66"/>
  <c r="P7" i="66"/>
  <c r="R7" i="66" s="1"/>
  <c r="AA7" i="66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P198" i="66"/>
  <c r="V198" i="66" s="1"/>
  <c r="Z7" i="66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Z151" i="66"/>
  <c r="E162" i="72"/>
  <c r="F162" i="72" s="1"/>
  <c r="Z8" i="74"/>
  <c r="AA8" i="74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S150" i="66"/>
  <c r="U150" i="66" s="1"/>
  <c r="AB150" i="66"/>
  <c r="AC150" i="66" s="1"/>
  <c r="O150" i="66"/>
  <c r="Q150" i="66"/>
  <c r="W150" i="66" s="1"/>
  <c r="Y150" i="66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Z75" i="66"/>
  <c r="Z219" i="66"/>
  <c r="AA75" i="66"/>
  <c r="AA219" i="66"/>
  <c r="AA152" i="66"/>
  <c r="Z8" i="66"/>
  <c r="AA8" i="66"/>
  <c r="Z152" i="66"/>
  <c r="AC75" i="74"/>
  <c r="AD75" i="74" s="1"/>
  <c r="O75" i="74"/>
  <c r="W55" i="66"/>
  <c r="Y55" i="66" s="1"/>
  <c r="R55" i="66"/>
  <c r="V55" i="66"/>
  <c r="AA104" i="74"/>
  <c r="Z104" i="74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M6" i="74"/>
  <c r="S6" i="66"/>
  <c r="U6" i="66" s="1"/>
  <c r="Q6" i="66"/>
  <c r="W6" i="66" s="1"/>
  <c r="Y6" i="66" s="1"/>
  <c r="O6" i="66"/>
  <c r="AB6" i="66"/>
  <c r="AC6" i="66" s="1"/>
  <c r="Z267" i="66"/>
  <c r="AA123" i="66"/>
  <c r="Z123" i="66"/>
  <c r="AA267" i="66"/>
  <c r="P55" i="74"/>
  <c r="AA55" i="74"/>
  <c r="Z55" i="74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V151" i="66"/>
  <c r="R151" i="66"/>
  <c r="R199" i="66"/>
  <c r="W199" i="66"/>
  <c r="Y199" i="66" s="1"/>
  <c r="V199" i="66"/>
  <c r="O123" i="74"/>
  <c r="AC123" i="74"/>
  <c r="AD123" i="74" s="1"/>
  <c r="AC7" i="74"/>
  <c r="AD7" i="74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Q54" i="74"/>
  <c r="AC54" i="74"/>
  <c r="AD54" i="74" s="1"/>
  <c r="O54" i="74"/>
  <c r="M102" i="74"/>
  <c r="Q102" i="66"/>
  <c r="AB102" i="66"/>
  <c r="AC102" i="66" s="1"/>
  <c r="O102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O7" i="74"/>
  <c r="O27" i="66"/>
  <c r="L27" i="74"/>
  <c r="AB27" i="66"/>
  <c r="AC27" i="66" s="1"/>
  <c r="N102" i="74"/>
  <c r="G18" i="39"/>
  <c r="AA198" i="66"/>
  <c r="P54" i="66"/>
  <c r="Z54" i="66"/>
  <c r="AA54" i="66"/>
  <c r="Z198" i="66"/>
  <c r="P103" i="74"/>
  <c r="Z103" i="74"/>
  <c r="AA103" i="74"/>
  <c r="AB246" i="66"/>
  <c r="AC246" i="66" s="1"/>
  <c r="O246" i="66"/>
  <c r="Q246" i="66"/>
  <c r="W198" i="66" l="1"/>
  <c r="Y198" i="66" s="1"/>
  <c r="R198" i="66"/>
  <c r="S198" i="66" s="1"/>
  <c r="U198" i="66" s="1"/>
  <c r="V7" i="66"/>
  <c r="V103" i="66"/>
  <c r="R103" i="66"/>
  <c r="W103" i="66"/>
  <c r="Y103" i="66" s="1"/>
  <c r="E8" i="72"/>
  <c r="F8" i="72" s="1"/>
  <c r="V247" i="66"/>
  <c r="W247" i="66"/>
  <c r="Y247" i="66" s="1"/>
  <c r="R247" i="66"/>
  <c r="P246" i="66"/>
  <c r="V246" i="66" s="1"/>
  <c r="P150" i="66"/>
  <c r="V150" i="66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31" i="72"/>
  <c r="F131" i="72" s="1"/>
  <c r="Z75" i="74"/>
  <c r="AA75" i="74"/>
  <c r="AA246" i="66"/>
  <c r="Z246" i="66"/>
  <c r="P102" i="66"/>
  <c r="AA102" i="66"/>
  <c r="Z102" i="66"/>
  <c r="Z123" i="74"/>
  <c r="AA123" i="74"/>
  <c r="S6" i="74"/>
  <c r="U6" i="74" s="1"/>
  <c r="Q6" i="74"/>
  <c r="W6" i="74" s="1"/>
  <c r="Y6" i="74" s="1"/>
  <c r="AC6" i="74"/>
  <c r="AD6" i="74" s="1"/>
  <c r="O6" i="74"/>
  <c r="E70" i="72"/>
  <c r="F70" i="72" s="1"/>
  <c r="E39" i="72"/>
  <c r="F39" i="72" s="1"/>
  <c r="V54" i="66"/>
  <c r="R54" i="66"/>
  <c r="S54" i="66" s="1"/>
  <c r="U54" i="66" s="1"/>
  <c r="W54" i="66"/>
  <c r="Y54" i="66" s="1"/>
  <c r="V55" i="74"/>
  <c r="W55" i="74"/>
  <c r="Y55" i="74" s="1"/>
  <c r="R55" i="74"/>
  <c r="E101" i="72"/>
  <c r="F101" i="72" s="1"/>
  <c r="Q102" i="74"/>
  <c r="O102" i="74"/>
  <c r="AC102" i="74"/>
  <c r="AD102" i="74" s="1"/>
  <c r="P54" i="74"/>
  <c r="Z54" i="74"/>
  <c r="AA54" i="74"/>
  <c r="AC27" i="74"/>
  <c r="AD27" i="74" s="1"/>
  <c r="O27" i="74"/>
  <c r="V103" i="74"/>
  <c r="R103" i="74"/>
  <c r="W103" i="74"/>
  <c r="Y103" i="74" s="1"/>
  <c r="Z171" i="66"/>
  <c r="AA171" i="66"/>
  <c r="AA27" i="66"/>
  <c r="Z27" i="66"/>
  <c r="P7" i="74"/>
  <c r="Z7" i="74"/>
  <c r="AA7" i="74"/>
  <c r="E256" i="72"/>
  <c r="F256" i="72" s="1"/>
  <c r="E193" i="72"/>
  <c r="F193" i="72" s="1"/>
  <c r="Z6" i="66"/>
  <c r="Z150" i="66"/>
  <c r="AA150" i="66"/>
  <c r="AA6" i="66"/>
  <c r="P6" i="66"/>
  <c r="E225" i="72"/>
  <c r="F225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87" i="72" l="1"/>
  <c r="F287" i="72" s="1"/>
  <c r="W246" i="66"/>
  <c r="Y246" i="66" s="1"/>
  <c r="R246" i="66"/>
  <c r="S246" i="66" s="1"/>
  <c r="U246" i="66" s="1"/>
  <c r="R150" i="66"/>
  <c r="E9" i="72"/>
  <c r="F9" i="72" s="1"/>
  <c r="V6" i="66"/>
  <c r="R6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AA27" i="74"/>
  <c r="Z27" i="74"/>
  <c r="V7" i="74"/>
  <c r="R7" i="74"/>
  <c r="R102" i="66"/>
  <c r="S102" i="66" s="1"/>
  <c r="U102" i="66" s="1"/>
  <c r="W102" i="66"/>
  <c r="Y102" i="66" s="1"/>
  <c r="V102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V54" i="74"/>
  <c r="R54" i="74"/>
  <c r="S54" i="74" s="1"/>
  <c r="U54" i="74" s="1"/>
  <c r="W54" i="74"/>
  <c r="Y54" i="74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P6" i="74"/>
  <c r="AA6" i="74"/>
  <c r="Z6" i="74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63" i="72"/>
  <c r="F163" i="72" s="1"/>
  <c r="P102" i="74"/>
  <c r="AA102" i="74"/>
  <c r="Z102" i="74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32" i="72" l="1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" i="72"/>
  <c r="F10" i="72" s="1"/>
  <c r="E71" i="72"/>
  <c r="F71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40" i="72"/>
  <c r="F40" i="72" s="1"/>
  <c r="E102" i="72"/>
  <c r="F102" i="72" s="1"/>
  <c r="R102" i="74"/>
  <c r="S102" i="74" s="1"/>
  <c r="U102" i="74" s="1"/>
  <c r="V102" i="74"/>
  <c r="W102" i="74"/>
  <c r="Y102" i="74" s="1"/>
  <c r="R6" i="74"/>
  <c r="V6" i="74"/>
  <c r="E227" i="72" l="1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64" i="72"/>
  <c r="F164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95" i="72"/>
  <c r="F195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3" i="72"/>
  <c r="F133" i="72" s="1"/>
  <c r="E289" i="72"/>
  <c r="F289" i="72" s="1"/>
  <c r="E11" i="72" l="1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59" i="72"/>
  <c r="F259" i="72" s="1"/>
  <c r="E72" i="72"/>
  <c r="F72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41" i="72"/>
  <c r="F41" i="72" s="1"/>
  <c r="E103" i="72"/>
  <c r="F103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34" i="72" l="1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5" i="72"/>
  <c r="F165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229" i="72"/>
  <c r="F229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2" i="72"/>
  <c r="F12" i="72" s="1"/>
  <c r="E196" i="72"/>
  <c r="F196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73" i="72" l="1"/>
  <c r="F73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60" i="72"/>
  <c r="F260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04" i="72"/>
  <c r="F104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35" i="72"/>
  <c r="F135" i="72" s="1"/>
  <c r="E291" i="72"/>
  <c r="F291" i="72" s="1"/>
  <c r="E42" i="72"/>
  <c r="F42" i="72" s="1"/>
  <c r="E166" i="72" l="1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" i="72"/>
  <c r="F13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97" i="72"/>
  <c r="F197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74" i="72" l="1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36" i="72"/>
  <c r="F136" i="72" s="1"/>
  <c r="E167" i="72"/>
  <c r="F167" i="72" s="1"/>
  <c r="E261" i="72"/>
  <c r="F261" i="72" s="1"/>
  <c r="E292" i="72"/>
  <c r="F292" i="72" s="1"/>
  <c r="E43" i="72"/>
  <c r="F43" i="72" s="1"/>
  <c r="E231" i="72"/>
  <c r="F231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05" i="72"/>
  <c r="F105" i="72" s="1"/>
  <c r="E75" i="72" l="1"/>
  <c r="F75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98" i="72"/>
  <c r="F198" i="72" s="1"/>
  <c r="E14" i="72"/>
  <c r="F14" i="72" s="1"/>
  <c r="E168" i="72" l="1"/>
  <c r="F168" i="72" s="1"/>
  <c r="E262" i="72"/>
  <c r="F262" i="72" s="1"/>
  <c r="E106" i="72"/>
  <c r="F106" i="72" s="1"/>
  <c r="E293" i="72"/>
  <c r="F293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44" i="72"/>
  <c r="F44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7" i="72"/>
  <c r="F137" i="72" s="1"/>
  <c r="E232" i="72"/>
  <c r="F232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76" i="72" l="1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5" i="72"/>
  <c r="F15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8" i="72" l="1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07" i="72"/>
  <c r="F107" i="72" s="1"/>
  <c r="E45" i="72"/>
  <c r="F45" i="72" s="1"/>
  <c r="E233" i="72"/>
  <c r="F233" i="72" s="1"/>
  <c r="E169" i="72"/>
  <c r="F169" i="72" s="1"/>
  <c r="E294" i="72"/>
  <c r="F294" i="72" s="1"/>
  <c r="E263" i="72"/>
  <c r="F263" i="72" s="1"/>
  <c r="E77" i="72"/>
  <c r="F77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00" i="72"/>
  <c r="F200" i="72" s="1"/>
  <c r="E16" i="72" l="1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39" i="72"/>
  <c r="F13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34" i="72"/>
  <c r="F234" i="72" s="1"/>
  <c r="E46" i="72"/>
  <c r="F46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08" i="72"/>
  <c r="F108" i="72" s="1"/>
  <c r="E295" i="72"/>
  <c r="F295" i="72" s="1"/>
  <c r="E170" i="72"/>
  <c r="F170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8" i="72"/>
  <c r="F18" i="72" s="1"/>
  <c r="E265" i="72"/>
  <c r="F265" i="72" s="1"/>
  <c r="E202" i="72"/>
  <c r="F202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40" i="72"/>
  <c r="F140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 l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47" i="72"/>
  <c r="F47" i="72" s="1"/>
  <c r="E235" i="72"/>
  <c r="F235" i="72" s="1"/>
  <c r="E109" i="72"/>
  <c r="F109" i="72" s="1"/>
  <c r="E80" i="72"/>
  <c r="F80" i="72" s="1"/>
  <c r="E171" i="72"/>
  <c r="F171" i="72" s="1"/>
  <c r="E296" i="72"/>
  <c r="F296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9" i="72" l="1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41" i="72"/>
  <c r="F141" i="72" s="1"/>
  <c r="E266" i="72"/>
  <c r="F266" i="72" s="1"/>
  <c r="E236" i="72" l="1"/>
  <c r="F236" i="72" s="1"/>
  <c r="E110" i="72"/>
  <c r="F110" i="72" s="1"/>
  <c r="E81" i="72"/>
  <c r="F81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72" i="72"/>
  <c r="F172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48" i="72"/>
  <c r="F48" i="72" s="1"/>
  <c r="E297" i="72"/>
  <c r="F297" i="72" s="1"/>
  <c r="E20" i="72"/>
  <c r="F20" i="72" s="1"/>
  <c r="E204" i="72"/>
  <c r="F204" i="72" s="1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42" i="72"/>
  <c r="F142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67" i="72"/>
  <c r="F267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05" i="72"/>
  <c r="F205" i="72" s="1"/>
  <c r="E82" i="72"/>
  <c r="F82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73" i="72"/>
  <c r="F17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1" i="72"/>
  <c r="F21" i="72" s="1"/>
  <c r="E298" i="72"/>
  <c r="F298" i="72" s="1"/>
  <c r="E111" i="72"/>
  <c r="F111" i="72" s="1"/>
  <c r="E49" i="72"/>
  <c r="F49" i="72" s="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38" i="72"/>
  <c r="F238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43" i="72"/>
  <c r="F143" i="72" s="1"/>
  <c r="E268" i="72"/>
  <c r="F268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2" i="72" l="1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99" i="72"/>
  <c r="F299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74" i="72"/>
  <c r="F174" i="72" s="1"/>
  <c r="E112" i="72"/>
  <c r="F112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50" i="72"/>
  <c r="F50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69" i="72"/>
  <c r="F269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07" i="72"/>
  <c r="F207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84" i="72"/>
  <c r="F84" i="72" s="1"/>
  <c r="E239" i="72"/>
  <c r="F23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3" i="72"/>
  <c r="F23" i="72" s="1"/>
  <c r="E51" i="72" l="1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4" i="72"/>
  <c r="H25" i="72" s="1"/>
  <c r="I26" i="72" s="1"/>
  <c r="J27" i="72" s="1"/>
  <c r="K28" i="72" s="1"/>
  <c r="L29" i="72" s="1"/>
  <c r="M30" i="72" s="1"/>
  <c r="N31" i="72" s="1"/>
  <c r="O32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300" i="72"/>
  <c r="F300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175" i="72"/>
  <c r="F175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13" i="72"/>
  <c r="F113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240" i="72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52" i="72"/>
  <c r="F52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70" i="72"/>
  <c r="F27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4" i="72"/>
  <c r="F24" i="72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147" i="72"/>
  <c r="F147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114" i="72"/>
  <c r="F114" i="72" s="1"/>
  <c r="E241" i="72"/>
  <c r="F241" i="72" s="1"/>
  <c r="G25" i="72"/>
  <c r="H26" i="72" s="1"/>
  <c r="I27" i="72" s="1"/>
  <c r="J28" i="72" s="1"/>
  <c r="K29" i="72" s="1"/>
  <c r="L30" i="72" s="1"/>
  <c r="M31" i="72" s="1"/>
  <c r="N32" i="72" s="1"/>
  <c r="E301" i="72"/>
  <c r="F301" i="72" s="1"/>
  <c r="E86" i="72"/>
  <c r="F86" i="72" s="1"/>
  <c r="E209" i="72"/>
  <c r="F209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5" i="72"/>
  <c r="F25" i="72" s="1"/>
  <c r="G242" i="72"/>
  <c r="H243" i="72" s="1"/>
  <c r="I244" i="72" s="1"/>
  <c r="J245" i="72" s="1"/>
  <c r="K246" i="72" s="1"/>
  <c r="L247" i="72" s="1"/>
  <c r="M248" i="72" s="1"/>
  <c r="N249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71" i="72"/>
  <c r="F271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177" i="72"/>
  <c r="F177" i="72" s="1"/>
  <c r="G87" i="72"/>
  <c r="H88" i="72" s="1"/>
  <c r="I89" i="72" s="1"/>
  <c r="J90" i="72" s="1"/>
  <c r="K91" i="72" s="1"/>
  <c r="L92" i="72" s="1"/>
  <c r="M93" i="72" s="1"/>
  <c r="N94" i="72" s="1"/>
  <c r="E54" i="72" l="1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87" i="72"/>
  <c r="F87" i="72" s="1"/>
  <c r="G88" i="72" s="1"/>
  <c r="H89" i="72" s="1"/>
  <c r="I90" i="72" s="1"/>
  <c r="J91" i="72" s="1"/>
  <c r="K92" i="72" s="1"/>
  <c r="L93" i="72" s="1"/>
  <c r="M94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148" i="72"/>
  <c r="F148" i="72" s="1"/>
  <c r="E115" i="72"/>
  <c r="F115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42" i="72"/>
  <c r="F242" i="72" s="1"/>
  <c r="G26" i="72"/>
  <c r="H27" i="72" s="1"/>
  <c r="I28" i="72" s="1"/>
  <c r="J29" i="72" s="1"/>
  <c r="K30" i="72" s="1"/>
  <c r="L31" i="72" s="1"/>
  <c r="M32" i="72" s="1"/>
  <c r="E302" i="72"/>
  <c r="F302" i="72" s="1"/>
  <c r="E26" i="72" l="1"/>
  <c r="F26" i="72" s="1"/>
  <c r="G27" i="72" s="1"/>
  <c r="H28" i="72" s="1"/>
  <c r="I29" i="72" s="1"/>
  <c r="J30" i="72" s="1"/>
  <c r="K31" i="72" s="1"/>
  <c r="L32" i="72" s="1"/>
  <c r="G243" i="72"/>
  <c r="H244" i="72" s="1"/>
  <c r="I245" i="72" s="1"/>
  <c r="J246" i="72" s="1"/>
  <c r="K247" i="72" s="1"/>
  <c r="L248" i="72" s="1"/>
  <c r="M249" i="72" s="1"/>
  <c r="E272" i="72"/>
  <c r="F272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149" i="72"/>
  <c r="H150" i="72" s="1"/>
  <c r="I151" i="72" s="1"/>
  <c r="J152" i="72" s="1"/>
  <c r="K153" i="72" s="1"/>
  <c r="L154" i="72" s="1"/>
  <c r="M155" i="72" s="1"/>
  <c r="N156" i="72" s="1"/>
  <c r="E178" i="72"/>
  <c r="F178" i="72" s="1"/>
  <c r="E211" i="72"/>
  <c r="F211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88" i="72"/>
  <c r="F88" i="72" s="1"/>
  <c r="E55" i="72"/>
  <c r="F55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27" i="72"/>
  <c r="F27" i="72" s="1"/>
  <c r="G28" i="72" s="1"/>
  <c r="H29" i="72" s="1"/>
  <c r="I30" i="72" s="1"/>
  <c r="J31" i="72" s="1"/>
  <c r="K32" i="72" s="1"/>
  <c r="G212" i="72"/>
  <c r="H213" i="72" s="1"/>
  <c r="I214" i="72" s="1"/>
  <c r="J215" i="72" s="1"/>
  <c r="K216" i="72" s="1"/>
  <c r="L217" i="72" s="1"/>
  <c r="M218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149" i="72"/>
  <c r="F149" i="72" s="1"/>
  <c r="E116" i="72"/>
  <c r="F116" i="72" s="1"/>
  <c r="G56" i="72"/>
  <c r="H57" i="72" s="1"/>
  <c r="I58" i="72" s="1"/>
  <c r="J59" i="72" s="1"/>
  <c r="K60" i="72" s="1"/>
  <c r="L61" i="72" s="1"/>
  <c r="M62" i="72" s="1"/>
  <c r="N63" i="72" s="1"/>
  <c r="G89" i="72"/>
  <c r="H90" i="72" s="1"/>
  <c r="I91" i="72" s="1"/>
  <c r="J92" i="72" s="1"/>
  <c r="K93" i="72" s="1"/>
  <c r="L94" i="72" s="1"/>
  <c r="G273" i="72"/>
  <c r="H274" i="72" s="1"/>
  <c r="I275" i="72" s="1"/>
  <c r="J276" i="72" s="1"/>
  <c r="K277" i="72" s="1"/>
  <c r="L278" i="72" s="1"/>
  <c r="M279" i="72" s="1"/>
  <c r="N280" i="72" s="1"/>
  <c r="E243" i="72"/>
  <c r="F243" i="72" s="1"/>
  <c r="E304" i="72" l="1"/>
  <c r="F304" i="72" s="1"/>
  <c r="G305" i="72" s="1"/>
  <c r="H306" i="72" s="1"/>
  <c r="I307" i="72" s="1"/>
  <c r="J308" i="72" s="1"/>
  <c r="K309" i="72" s="1"/>
  <c r="L310" i="72" s="1"/>
  <c r="M311" i="72" s="1"/>
  <c r="E273" i="72"/>
  <c r="F273" i="72" s="1"/>
  <c r="G274" i="72" s="1"/>
  <c r="H275" i="72" s="1"/>
  <c r="I276" i="72" s="1"/>
  <c r="J277" i="72" s="1"/>
  <c r="K278" i="72" s="1"/>
  <c r="L279" i="72" s="1"/>
  <c r="M280" i="72" s="1"/>
  <c r="E212" i="72"/>
  <c r="F212" i="72" s="1"/>
  <c r="G213" i="72" s="1"/>
  <c r="H214" i="72" s="1"/>
  <c r="I215" i="72" s="1"/>
  <c r="J216" i="72" s="1"/>
  <c r="K217" i="72" s="1"/>
  <c r="L218" i="72" s="1"/>
  <c r="E89" i="72"/>
  <c r="F89" i="72" s="1"/>
  <c r="G90" i="72" s="1"/>
  <c r="H91" i="72" s="1"/>
  <c r="I92" i="72" s="1"/>
  <c r="J93" i="72" s="1"/>
  <c r="K94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56" i="72"/>
  <c r="F56" i="72" s="1"/>
  <c r="G57" i="72" s="1"/>
  <c r="H58" i="72" s="1"/>
  <c r="I59" i="72" s="1"/>
  <c r="J60" i="72" s="1"/>
  <c r="K61" i="72" s="1"/>
  <c r="L62" i="72" s="1"/>
  <c r="M63" i="72" s="1"/>
  <c r="G150" i="72"/>
  <c r="H151" i="72" s="1"/>
  <c r="I152" i="72" s="1"/>
  <c r="J153" i="72" s="1"/>
  <c r="K154" i="72" s="1"/>
  <c r="L155" i="72" s="1"/>
  <c r="M156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244" i="72"/>
  <c r="H245" i="72" s="1"/>
  <c r="I246" i="72" s="1"/>
  <c r="J247" i="72" s="1"/>
  <c r="K248" i="72" s="1"/>
  <c r="L249" i="72" s="1"/>
  <c r="E28" i="72"/>
  <c r="F28" i="72" s="1"/>
  <c r="E90" i="72" l="1"/>
  <c r="F90" i="72" s="1"/>
  <c r="G91" i="72" s="1"/>
  <c r="H92" i="72" s="1"/>
  <c r="I93" i="72" s="1"/>
  <c r="J94" i="72" s="1"/>
  <c r="E274" i="72"/>
  <c r="F274" i="72" s="1"/>
  <c r="G275" i="72" s="1"/>
  <c r="H276" i="72" s="1"/>
  <c r="I277" i="72" s="1"/>
  <c r="J278" i="72" s="1"/>
  <c r="K279" i="72" s="1"/>
  <c r="L280" i="72" s="1"/>
  <c r="E117" i="72"/>
  <c r="F117" i="72" s="1"/>
  <c r="G118" i="72" s="1"/>
  <c r="E213" i="72"/>
  <c r="F213" i="72" s="1"/>
  <c r="G214" i="72" s="1"/>
  <c r="E305" i="72"/>
  <c r="F305" i="72" s="1"/>
  <c r="G306" i="72" s="1"/>
  <c r="E244" i="72"/>
  <c r="F244" i="72" s="1"/>
  <c r="G245" i="72" s="1"/>
  <c r="H246" i="72" s="1"/>
  <c r="I247" i="72" s="1"/>
  <c r="J248" i="72" s="1"/>
  <c r="K249" i="72" s="1"/>
  <c r="E57" i="72"/>
  <c r="F57" i="72" s="1"/>
  <c r="G58" i="72" s="1"/>
  <c r="H59" i="72" s="1"/>
  <c r="I60" i="72" s="1"/>
  <c r="J61" i="72" s="1"/>
  <c r="K62" i="72" s="1"/>
  <c r="L63" i="72" s="1"/>
  <c r="G29" i="72"/>
  <c r="H30" i="72" s="1"/>
  <c r="I31" i="72" s="1"/>
  <c r="J32" i="72" s="1"/>
  <c r="E150" i="72"/>
  <c r="F150" i="72" s="1"/>
  <c r="E180" i="72"/>
  <c r="F180" i="72" s="1"/>
  <c r="E275" i="72" l="1"/>
  <c r="F275" i="72" s="1"/>
  <c r="G276" i="72" s="1"/>
  <c r="H277" i="72" s="1"/>
  <c r="I278" i="72" s="1"/>
  <c r="J279" i="72" s="1"/>
  <c r="K280" i="72" s="1"/>
  <c r="H307" i="72"/>
  <c r="I308" i="72" s="1"/>
  <c r="J309" i="72" s="1"/>
  <c r="K310" i="72" s="1"/>
  <c r="L311" i="72" s="1"/>
  <c r="E306" i="72"/>
  <c r="F306" i="72" s="1"/>
  <c r="G307" i="72" s="1"/>
  <c r="H308" i="72" s="1"/>
  <c r="I309" i="72" s="1"/>
  <c r="J310" i="72" s="1"/>
  <c r="K311" i="72" s="1"/>
  <c r="H215" i="72"/>
  <c r="I216" i="72" s="1"/>
  <c r="J217" i="72" s="1"/>
  <c r="K218" i="72" s="1"/>
  <c r="E214" i="72"/>
  <c r="F214" i="72" s="1"/>
  <c r="G215" i="72" s="1"/>
  <c r="H216" i="72" s="1"/>
  <c r="I217" i="72" s="1"/>
  <c r="J218" i="72" s="1"/>
  <c r="H119" i="72"/>
  <c r="I120" i="72" s="1"/>
  <c r="J121" i="72" s="1"/>
  <c r="K122" i="72" s="1"/>
  <c r="L123" i="72" s="1"/>
  <c r="M124" i="72" s="1"/>
  <c r="N125" i="72" s="1"/>
  <c r="E118" i="72"/>
  <c r="F118" i="72" s="1"/>
  <c r="G151" i="72"/>
  <c r="H152" i="72" s="1"/>
  <c r="I153" i="72" s="1"/>
  <c r="J154" i="72" s="1"/>
  <c r="K155" i="72" s="1"/>
  <c r="L156" i="72" s="1"/>
  <c r="E58" i="72"/>
  <c r="F58" i="72" s="1"/>
  <c r="G181" i="72"/>
  <c r="H182" i="72" s="1"/>
  <c r="I183" i="72" s="1"/>
  <c r="J184" i="72" s="1"/>
  <c r="K185" i="72" s="1"/>
  <c r="L186" i="72" s="1"/>
  <c r="M187" i="72" s="1"/>
  <c r="E91" i="72"/>
  <c r="F91" i="72" s="1"/>
  <c r="E29" i="72"/>
  <c r="F29" i="72" s="1"/>
  <c r="E245" i="72"/>
  <c r="F245" i="72" s="1"/>
  <c r="E181" i="72" l="1"/>
  <c r="F181" i="72" s="1"/>
  <c r="G182" i="72" s="1"/>
  <c r="H183" i="72" s="1"/>
  <c r="I184" i="72" s="1"/>
  <c r="J185" i="72" s="1"/>
  <c r="K186" i="72" s="1"/>
  <c r="L187" i="72" s="1"/>
  <c r="G119" i="72"/>
  <c r="H120" i="72" s="1"/>
  <c r="I121" i="72" s="1"/>
  <c r="J122" i="72" s="1"/>
  <c r="K123" i="72" s="1"/>
  <c r="L124" i="72" s="1"/>
  <c r="M125" i="72" s="1"/>
  <c r="E215" i="72"/>
  <c r="F215" i="72" s="1"/>
  <c r="G216" i="72" s="1"/>
  <c r="H217" i="72" s="1"/>
  <c r="I218" i="72" s="1"/>
  <c r="E276" i="72"/>
  <c r="F276" i="72" s="1"/>
  <c r="G277" i="72" s="1"/>
  <c r="H278" i="72" s="1"/>
  <c r="I279" i="72" s="1"/>
  <c r="J280" i="72" s="1"/>
  <c r="G246" i="72"/>
  <c r="H247" i="72" s="1"/>
  <c r="I248" i="72" s="1"/>
  <c r="J249" i="72" s="1"/>
  <c r="G30" i="72"/>
  <c r="H31" i="72" s="1"/>
  <c r="I32" i="72" s="1"/>
  <c r="G59" i="72"/>
  <c r="H60" i="72" s="1"/>
  <c r="I61" i="72" s="1"/>
  <c r="J62" i="72" s="1"/>
  <c r="K63" i="72" s="1"/>
  <c r="E307" i="72"/>
  <c r="F307" i="72" s="1"/>
  <c r="E151" i="72"/>
  <c r="F151" i="72" s="1"/>
  <c r="G92" i="72"/>
  <c r="H93" i="72" s="1"/>
  <c r="I94" i="72" s="1"/>
  <c r="E119" i="72" l="1"/>
  <c r="F119" i="72" s="1"/>
  <c r="E59" i="72"/>
  <c r="F59" i="72" s="1"/>
  <c r="G60" i="72" s="1"/>
  <c r="H61" i="72" s="1"/>
  <c r="I62" i="72" s="1"/>
  <c r="J63" i="72" s="1"/>
  <c r="E216" i="72"/>
  <c r="F216" i="72" s="1"/>
  <c r="G217" i="72" s="1"/>
  <c r="H218" i="72" s="1"/>
  <c r="E30" i="72"/>
  <c r="F30" i="72" s="1"/>
  <c r="G31" i="72" s="1"/>
  <c r="H32" i="72" s="1"/>
  <c r="E92" i="72"/>
  <c r="F92" i="72" s="1"/>
  <c r="G93" i="72" s="1"/>
  <c r="H94" i="72" s="1"/>
  <c r="G308" i="72"/>
  <c r="H309" i="72" s="1"/>
  <c r="I310" i="72" s="1"/>
  <c r="J311" i="72" s="1"/>
  <c r="E277" i="72"/>
  <c r="F277" i="72" s="1"/>
  <c r="G152" i="72"/>
  <c r="H153" i="72" s="1"/>
  <c r="I154" i="72" s="1"/>
  <c r="J155" i="72" s="1"/>
  <c r="K156" i="72" s="1"/>
  <c r="E182" i="72"/>
  <c r="F182" i="72" s="1"/>
  <c r="E246" i="72"/>
  <c r="F246" i="72" s="1"/>
  <c r="G120" i="72" l="1"/>
  <c r="H121" i="72" s="1"/>
  <c r="I122" i="72" s="1"/>
  <c r="J123" i="72" s="1"/>
  <c r="K124" i="72" s="1"/>
  <c r="L125" i="72" s="1"/>
  <c r="E93" i="72"/>
  <c r="F93" i="72" s="1"/>
  <c r="E152" i="72"/>
  <c r="F152" i="72" s="1"/>
  <c r="E31" i="72"/>
  <c r="F31" i="72" s="1"/>
  <c r="G278" i="72"/>
  <c r="H279" i="72" s="1"/>
  <c r="I280" i="72" s="1"/>
  <c r="E217" i="72"/>
  <c r="F217" i="72" s="1"/>
  <c r="G218" i="72" s="1"/>
  <c r="E218" i="72" s="1"/>
  <c r="F218" i="72" s="1"/>
  <c r="G247" i="72"/>
  <c r="H248" i="72" s="1"/>
  <c r="I249" i="72" s="1"/>
  <c r="G183" i="72"/>
  <c r="H184" i="72" s="1"/>
  <c r="I185" i="72" s="1"/>
  <c r="J186" i="72" s="1"/>
  <c r="K187" i="72" s="1"/>
  <c r="E308" i="72"/>
  <c r="F308" i="72" s="1"/>
  <c r="E60" i="72"/>
  <c r="F60" i="72" s="1"/>
  <c r="E120" i="72" l="1"/>
  <c r="F120" i="72" s="1"/>
  <c r="G61" i="72"/>
  <c r="H62" i="72" s="1"/>
  <c r="I63" i="72" s="1"/>
  <c r="G309" i="72"/>
  <c r="H310" i="72" s="1"/>
  <c r="I311" i="72" s="1"/>
  <c r="E183" i="72"/>
  <c r="F183" i="72" s="1"/>
  <c r="E247" i="72"/>
  <c r="F247" i="72" s="1"/>
  <c r="E278" i="72"/>
  <c r="F278" i="72" s="1"/>
  <c r="G32" i="72"/>
  <c r="E32" i="72" s="1"/>
  <c r="F32" i="72" s="1"/>
  <c r="G153" i="72"/>
  <c r="H154" i="72" s="1"/>
  <c r="I155" i="72" s="1"/>
  <c r="J156" i="72" s="1"/>
  <c r="G94" i="72"/>
  <c r="E94" i="72" s="1"/>
  <c r="F94" i="72" s="1"/>
  <c r="AL94" i="72" s="1"/>
  <c r="G121" i="72" l="1"/>
  <c r="H122" i="72" s="1"/>
  <c r="I123" i="72" s="1"/>
  <c r="J124" i="72" s="1"/>
  <c r="K125" i="72" s="1"/>
  <c r="E153" i="72"/>
  <c r="F153" i="72" s="1"/>
  <c r="G154" i="72" s="1"/>
  <c r="H155" i="72" s="1"/>
  <c r="I156" i="72" s="1"/>
  <c r="AL32" i="72"/>
  <c r="G279" i="72"/>
  <c r="H280" i="72" s="1"/>
  <c r="G248" i="72"/>
  <c r="H249" i="72" s="1"/>
  <c r="G184" i="72"/>
  <c r="H185" i="72" s="1"/>
  <c r="I186" i="72" s="1"/>
  <c r="J187" i="72" s="1"/>
  <c r="E309" i="72"/>
  <c r="F309" i="72" s="1"/>
  <c r="E61" i="72"/>
  <c r="F61" i="72" s="1"/>
  <c r="E121" i="72" l="1"/>
  <c r="F121" i="72" s="1"/>
  <c r="E184" i="72"/>
  <c r="F184" i="72" s="1"/>
  <c r="G185" i="72" s="1"/>
  <c r="H186" i="72" s="1"/>
  <c r="I187" i="72" s="1"/>
  <c r="E154" i="72"/>
  <c r="F154" i="72" s="1"/>
  <c r="G62" i="72"/>
  <c r="H63" i="72" s="1"/>
  <c r="G310" i="72"/>
  <c r="H311" i="72" s="1"/>
  <c r="E248" i="72"/>
  <c r="F248" i="72" s="1"/>
  <c r="G249" i="72" s="1"/>
  <c r="E249" i="72" s="1"/>
  <c r="F249" i="72" s="1"/>
  <c r="E279" i="72"/>
  <c r="F279" i="72" s="1"/>
  <c r="G280" i="72" s="1"/>
  <c r="E280" i="72" s="1"/>
  <c r="F280" i="72" s="1"/>
  <c r="G122" i="72" l="1"/>
  <c r="H123" i="72" s="1"/>
  <c r="I124" i="72" s="1"/>
  <c r="J125" i="72" s="1"/>
  <c r="E310" i="72"/>
  <c r="F310" i="72" s="1"/>
  <c r="G311" i="72" s="1"/>
  <c r="E311" i="72" s="1"/>
  <c r="F311" i="72" s="1"/>
  <c r="E185" i="72"/>
  <c r="F185" i="72" s="1"/>
  <c r="G186" i="72" s="1"/>
  <c r="H187" i="72" s="1"/>
  <c r="E62" i="72"/>
  <c r="F62" i="72" s="1"/>
  <c r="G155" i="72"/>
  <c r="H156" i="72" s="1"/>
  <c r="E122" i="72" l="1"/>
  <c r="F122" i="72" s="1"/>
  <c r="E155" i="72"/>
  <c r="F155" i="72" s="1"/>
  <c r="G156" i="72" s="1"/>
  <c r="E156" i="72" s="1"/>
  <c r="F156" i="72" s="1"/>
  <c r="E186" i="72"/>
  <c r="F186" i="72" s="1"/>
  <c r="G187" i="72" s="1"/>
  <c r="E187" i="72" s="1"/>
  <c r="F187" i="72" s="1"/>
  <c r="G63" i="72"/>
  <c r="E63" i="72" s="1"/>
  <c r="F63" i="72" s="1"/>
  <c r="G123" i="72" l="1"/>
  <c r="H124" i="72" s="1"/>
  <c r="I125" i="72" s="1"/>
  <c r="AL63" i="72"/>
  <c r="E123" i="72" l="1"/>
  <c r="F123" i="72" s="1"/>
  <c r="G124" i="72" l="1"/>
  <c r="H125" i="72" s="1"/>
  <c r="E124" i="72" l="1"/>
  <c r="F124" i="72" s="1"/>
  <c r="G125" i="72" l="1"/>
  <c r="E125" i="72" s="1"/>
  <c r="F125" i="72" s="1"/>
  <c r="G26" i="26" a="1"/>
  <c r="G26" i="26" s="1"/>
  <c r="H210" i="35" s="1"/>
  <c r="D28" i="26" a="1"/>
  <c r="D28" i="26" s="1"/>
  <c r="H191" i="35" s="1"/>
  <c r="H25" i="26" a="1"/>
  <c r="H25" i="26" s="1"/>
  <c r="I209" i="35" s="1"/>
  <c r="G24" i="26" a="1"/>
  <c r="G24" i="26" s="1"/>
  <c r="H208" i="35" s="1"/>
  <c r="F26" i="26" a="1"/>
  <c r="F26" i="26" s="1"/>
  <c r="G210" i="35" s="1"/>
  <c r="G23" i="26" a="1"/>
  <c r="G23" i="26" s="1"/>
  <c r="E38" i="26" a="1"/>
  <c r="E38" i="26" s="1"/>
  <c r="I201" i="35" s="1"/>
  <c r="D29" i="26" a="1"/>
  <c r="D29" i="26" s="1"/>
  <c r="H192" i="35" s="1"/>
  <c r="E25" i="26" a="1"/>
  <c r="E25" i="26" s="1"/>
  <c r="I188" i="35" s="1"/>
  <c r="G37" i="26" a="1"/>
  <c r="G37" i="26" s="1"/>
  <c r="H221" i="35" s="1"/>
  <c r="G29" i="26" a="1"/>
  <c r="G29" i="26" s="1"/>
  <c r="H213" i="35" s="1"/>
  <c r="G30" i="26" a="1"/>
  <c r="G30" i="26" s="1"/>
  <c r="H214" i="35" s="1"/>
  <c r="E29" i="26" a="1"/>
  <c r="E29" i="26" s="1"/>
  <c r="I192" i="35" s="1"/>
  <c r="F30" i="26" a="1"/>
  <c r="F30" i="26" s="1"/>
  <c r="G214" i="35" s="1"/>
  <c r="F32" i="26" a="1"/>
  <c r="F32" i="26" s="1"/>
  <c r="G216" i="35" s="1"/>
  <c r="F25" i="26" a="1"/>
  <c r="F25" i="26" s="1"/>
  <c r="G209" i="35" s="1"/>
  <c r="H41" i="26" a="1"/>
  <c r="H41" i="26" s="1"/>
  <c r="I225" i="35" s="1"/>
  <c r="D33" i="26" a="1"/>
  <c r="D33" i="26" s="1"/>
  <c r="H196" i="35" s="1"/>
  <c r="E32" i="26" a="1"/>
  <c r="E32" i="26" s="1"/>
  <c r="I195" i="35" s="1"/>
  <c r="F23" i="26" a="1"/>
  <c r="F23" i="26" s="1"/>
  <c r="E37" i="26" a="1"/>
  <c r="E37" i="26" s="1"/>
  <c r="I200" i="35" s="1"/>
  <c r="D35" i="26" a="1"/>
  <c r="D35" i="26" s="1"/>
  <c r="G42" i="26" a="1"/>
  <c r="G42" i="26" s="1"/>
  <c r="H226" i="35" s="1"/>
  <c r="F28" i="26" a="1"/>
  <c r="F28" i="26" s="1"/>
  <c r="G212" i="35" s="1"/>
  <c r="F40" i="26" a="1"/>
  <c r="F40" i="26" s="1"/>
  <c r="G224" i="35" s="1"/>
  <c r="H27" i="26" a="1"/>
  <c r="H27" i="26" s="1"/>
  <c r="E31" i="26" a="1"/>
  <c r="E31" i="26" s="1"/>
  <c r="I194" i="35" s="1"/>
  <c r="E24" i="26" a="1"/>
  <c r="E24" i="26" s="1"/>
  <c r="I187" i="35" s="1"/>
  <c r="H23" i="26" a="1"/>
  <c r="H23" i="26" s="1"/>
  <c r="H28" i="26" a="1"/>
  <c r="H28" i="26" s="1"/>
  <c r="I212" i="35" s="1"/>
  <c r="D42" i="26" a="1"/>
  <c r="D42" i="26" s="1"/>
  <c r="H205" i="35" s="1"/>
  <c r="D41" i="26" a="1"/>
  <c r="D41" i="26" s="1"/>
  <c r="H204" i="35" s="1"/>
  <c r="D26" i="26" a="1"/>
  <c r="D26" i="26" s="1"/>
  <c r="H189" i="35" s="1"/>
  <c r="H40" i="26" a="1"/>
  <c r="H40" i="26" s="1"/>
  <c r="I224" i="35" s="1"/>
  <c r="G25" i="26" a="1"/>
  <c r="G25" i="26" s="1"/>
  <c r="H209" i="35" s="1"/>
  <c r="H24" i="26" a="1"/>
  <c r="H24" i="26" s="1"/>
  <c r="I208" i="35" s="1"/>
  <c r="G27" i="26" a="1"/>
  <c r="G27" i="26" s="1"/>
  <c r="D38" i="26" a="1"/>
  <c r="D38" i="26" s="1"/>
  <c r="H201" i="35" s="1"/>
  <c r="D34" i="26" a="1"/>
  <c r="D34" i="26" s="1"/>
  <c r="H197" i="35" s="1"/>
  <c r="G41" i="26" a="1"/>
  <c r="G41" i="26" s="1"/>
  <c r="H225" i="35" s="1"/>
  <c r="H38" i="26" a="1"/>
  <c r="H38" i="26" s="1"/>
  <c r="I222" i="35" s="1"/>
  <c r="F33" i="26" a="1"/>
  <c r="F33" i="26" s="1"/>
  <c r="G217" i="35" s="1"/>
  <c r="H39" i="26" a="1"/>
  <c r="H39" i="26" s="1"/>
  <c r="E36" i="26" a="1"/>
  <c r="E36" i="26" s="1"/>
  <c r="I199" i="35" s="1"/>
  <c r="E34" i="26" a="1"/>
  <c r="E34" i="26" s="1"/>
  <c r="I197" i="35" s="1"/>
  <c r="F41" i="26" a="1"/>
  <c r="F41" i="26" s="1"/>
  <c r="G225" i="35" s="1"/>
  <c r="D40" i="26" a="1"/>
  <c r="D40" i="26" s="1"/>
  <c r="H203" i="35" s="1"/>
  <c r="H35" i="26" a="1"/>
  <c r="H35" i="26" s="1"/>
  <c r="I219" i="35" s="1"/>
  <c r="F35" i="26" a="1"/>
  <c r="F35" i="26" s="1"/>
  <c r="G219" i="35" s="1"/>
  <c r="H64" i="58" s="1"/>
  <c r="H64" i="41" s="1"/>
  <c r="E41" i="26" a="1"/>
  <c r="E41" i="26" s="1"/>
  <c r="I204" i="35" s="1"/>
  <c r="D31" i="26" a="1"/>
  <c r="D31" i="26" s="1"/>
  <c r="E40" i="26" a="1"/>
  <c r="E40" i="26" s="1"/>
  <c r="I203" i="35" s="1"/>
  <c r="E26" i="26" a="1"/>
  <c r="E26" i="26" s="1"/>
  <c r="I189" i="35" s="1"/>
  <c r="H29" i="26" a="1"/>
  <c r="H29" i="26" s="1"/>
  <c r="I213" i="35" s="1"/>
  <c r="H31" i="26" a="1"/>
  <c r="H31" i="26" s="1"/>
  <c r="I215" i="35" s="1"/>
  <c r="F27" i="26" a="1"/>
  <c r="F27" i="26" s="1"/>
  <c r="G211" i="35" s="1"/>
  <c r="H33" i="58" s="1"/>
  <c r="H33" i="41" s="1"/>
  <c r="D32" i="26" a="1"/>
  <c r="D32" i="26" s="1"/>
  <c r="H195" i="35" s="1"/>
  <c r="G34" i="26" a="1"/>
  <c r="G34" i="26" s="1"/>
  <c r="H218" i="35" s="1"/>
  <c r="D23" i="26" a="1"/>
  <c r="D23" i="26" s="1"/>
  <c r="H186" i="35" s="1"/>
  <c r="I18" i="37" s="1"/>
  <c r="G33" i="26" a="1"/>
  <c r="G33" i="26" s="1"/>
  <c r="H217" i="35" s="1"/>
  <c r="H42" i="26" a="1"/>
  <c r="H42" i="26" s="1"/>
  <c r="I226" i="35" s="1"/>
  <c r="D25" i="26" a="1"/>
  <c r="D25" i="26" s="1"/>
  <c r="H188" i="35" s="1"/>
  <c r="F37" i="26" a="1"/>
  <c r="F37" i="26" s="1"/>
  <c r="G221" i="35" s="1"/>
  <c r="H30" i="26" a="1"/>
  <c r="H30" i="26" s="1"/>
  <c r="I214" i="35" s="1"/>
  <c r="E42" i="26" a="1"/>
  <c r="E42" i="26" s="1"/>
  <c r="I205" i="35" s="1"/>
  <c r="E39" i="26" a="1"/>
  <c r="E39" i="26" s="1"/>
  <c r="G38" i="26" a="1"/>
  <c r="G38" i="26" s="1"/>
  <c r="H222" i="35" s="1"/>
  <c r="F24" i="26" a="1"/>
  <c r="F24" i="26" s="1"/>
  <c r="G208" i="35" s="1"/>
  <c r="D36" i="26" a="1"/>
  <c r="D36" i="26" s="1"/>
  <c r="H199" i="35" s="1"/>
  <c r="G31" i="26" a="1"/>
  <c r="G31" i="26" s="1"/>
  <c r="F39" i="26" a="1"/>
  <c r="F39" i="26" s="1"/>
  <c r="G223" i="35" s="1"/>
  <c r="H82" i="58" s="1"/>
  <c r="H82" i="41" s="1"/>
  <c r="E28" i="26" a="1"/>
  <c r="E28" i="26" s="1"/>
  <c r="I191" i="35" s="1"/>
  <c r="G28" i="26" a="1"/>
  <c r="G28" i="26" s="1"/>
  <c r="H212" i="35" s="1"/>
  <c r="F34" i="26" a="1"/>
  <c r="F34" i="26" s="1"/>
  <c r="G218" i="35" s="1"/>
  <c r="E23" i="26" a="1"/>
  <c r="E23" i="26" s="1"/>
  <c r="G35" i="26" a="1"/>
  <c r="G35" i="26" s="1"/>
  <c r="G40" i="26" a="1"/>
  <c r="G40" i="26" s="1"/>
  <c r="H224" i="35" s="1"/>
  <c r="H26" i="26" a="1"/>
  <c r="H26" i="26" s="1"/>
  <c r="I210" i="35" s="1"/>
  <c r="D39" i="26" a="1"/>
  <c r="D39" i="26" s="1"/>
  <c r="H34" i="26" a="1"/>
  <c r="H34" i="26" s="1"/>
  <c r="I218" i="35" s="1"/>
  <c r="F38" i="26" a="1"/>
  <c r="F38" i="26" s="1"/>
  <c r="G222" i="35" s="1"/>
  <c r="D37" i="26" a="1"/>
  <c r="D37" i="26" s="1"/>
  <c r="H200" i="35" s="1"/>
  <c r="H37" i="26" a="1"/>
  <c r="H37" i="26" s="1"/>
  <c r="I221" i="35" s="1"/>
  <c r="G36" i="26" a="1"/>
  <c r="G36" i="26" s="1"/>
  <c r="H220" i="35" s="1"/>
  <c r="G39" i="26" a="1"/>
  <c r="G39" i="26" s="1"/>
  <c r="G32" i="26" a="1"/>
  <c r="G32" i="26" s="1"/>
  <c r="H216" i="35" s="1"/>
  <c r="J49" i="58"/>
  <c r="J50" i="58"/>
  <c r="J47" i="58"/>
  <c r="J48" i="58"/>
  <c r="J66" i="58"/>
  <c r="J64" i="58"/>
  <c r="J65" i="58"/>
  <c r="J63" i="58"/>
  <c r="J48" i="37"/>
  <c r="J49" i="37"/>
  <c r="J47" i="37"/>
  <c r="J50" i="37"/>
  <c r="H34" i="58" l="1"/>
  <c r="H34" i="41" s="1"/>
  <c r="H31" i="58"/>
  <c r="H31" i="41" s="1"/>
  <c r="H32" i="58"/>
  <c r="H32" i="41" s="1"/>
  <c r="H63" i="58"/>
  <c r="H63" i="41" s="1"/>
  <c r="H65" i="58"/>
  <c r="H65" i="41" s="1"/>
  <c r="H66" i="58"/>
  <c r="H66" i="41" s="1"/>
  <c r="I16" i="37"/>
  <c r="I15" i="37"/>
  <c r="I17" i="37"/>
  <c r="H80" i="58"/>
  <c r="H80" i="41" s="1"/>
  <c r="H79" i="58"/>
  <c r="H79" i="41" s="1"/>
  <c r="J48" i="41"/>
  <c r="H81" i="58"/>
  <c r="H81" i="41" s="1"/>
  <c r="J71" i="58"/>
  <c r="J72" i="58"/>
  <c r="J74" i="58"/>
  <c r="J73" i="58"/>
  <c r="I83" i="37"/>
  <c r="I85" i="37"/>
  <c r="I84" i="37"/>
  <c r="I86" i="37"/>
  <c r="I24" i="58"/>
  <c r="I23" i="58"/>
  <c r="I25" i="58"/>
  <c r="I26" i="58"/>
  <c r="I94" i="58"/>
  <c r="I93" i="58"/>
  <c r="I91" i="58"/>
  <c r="I92" i="58"/>
  <c r="I39" i="58"/>
  <c r="I41" i="58"/>
  <c r="I40" i="58"/>
  <c r="I42" i="58"/>
  <c r="I72" i="37"/>
  <c r="I74" i="37"/>
  <c r="I71" i="37"/>
  <c r="I73" i="37"/>
  <c r="H215" i="35"/>
  <c r="F52" i="26"/>
  <c r="I61" i="58"/>
  <c r="I60" i="58"/>
  <c r="I62" i="58"/>
  <c r="I59" i="58"/>
  <c r="H89" i="58"/>
  <c r="H89" i="41" s="1"/>
  <c r="H88" i="58"/>
  <c r="H88" i="41" s="1"/>
  <c r="H90" i="58"/>
  <c r="H90" i="41" s="1"/>
  <c r="H87" i="58"/>
  <c r="H87" i="41" s="1"/>
  <c r="J84" i="58"/>
  <c r="J86" i="58"/>
  <c r="J83" i="58"/>
  <c r="J85" i="58"/>
  <c r="C53" i="26"/>
  <c r="H198" i="35"/>
  <c r="I72" i="58"/>
  <c r="I71" i="58"/>
  <c r="I74" i="58"/>
  <c r="I73" i="58"/>
  <c r="H60" i="58"/>
  <c r="H60" i="41" s="1"/>
  <c r="H61" i="58"/>
  <c r="H61" i="41" s="1"/>
  <c r="H62" i="58"/>
  <c r="H62" i="41" s="1"/>
  <c r="H59" i="58"/>
  <c r="H59" i="41" s="1"/>
  <c r="H76" i="58"/>
  <c r="H76" i="41" s="1"/>
  <c r="H77" i="58"/>
  <c r="H77" i="41" s="1"/>
  <c r="H75" i="58"/>
  <c r="H75" i="41" s="1"/>
  <c r="H78" i="58"/>
  <c r="H78" i="41" s="1"/>
  <c r="I70" i="37"/>
  <c r="I67" i="37"/>
  <c r="I68" i="37"/>
  <c r="I69" i="37"/>
  <c r="I54" i="37"/>
  <c r="I52" i="37"/>
  <c r="I51" i="37"/>
  <c r="I53" i="37"/>
  <c r="J61" i="37"/>
  <c r="J62" i="37"/>
  <c r="J59" i="37"/>
  <c r="J60" i="37"/>
  <c r="I30" i="37"/>
  <c r="I28" i="37"/>
  <c r="I29" i="37"/>
  <c r="I27" i="37"/>
  <c r="J73" i="37"/>
  <c r="J72" i="37"/>
  <c r="J74" i="37"/>
  <c r="J74" i="41" s="1"/>
  <c r="J71" i="37"/>
  <c r="J24" i="37"/>
  <c r="J26" i="37"/>
  <c r="J23" i="37"/>
  <c r="J25" i="37"/>
  <c r="I51" i="58"/>
  <c r="I52" i="58"/>
  <c r="I54" i="58"/>
  <c r="I53" i="58"/>
  <c r="J60" i="58"/>
  <c r="J61" i="58"/>
  <c r="J59" i="58"/>
  <c r="J62" i="58"/>
  <c r="H20" i="58"/>
  <c r="H20" i="41" s="1"/>
  <c r="H19" i="58"/>
  <c r="H19" i="41" s="1"/>
  <c r="H22" i="58"/>
  <c r="H22" i="41" s="1"/>
  <c r="H21" i="58"/>
  <c r="H21" i="41" s="1"/>
  <c r="J69" i="37"/>
  <c r="J68" i="37"/>
  <c r="J67" i="37"/>
  <c r="J70" i="37"/>
  <c r="I89" i="37"/>
  <c r="I87" i="37"/>
  <c r="I90" i="37"/>
  <c r="I88" i="37"/>
  <c r="G207" i="35"/>
  <c r="E50" i="26"/>
  <c r="H50" i="26" s="1"/>
  <c r="I40" i="37"/>
  <c r="I40" i="41" s="1"/>
  <c r="I42" i="37"/>
  <c r="I41" i="37"/>
  <c r="I39" i="37"/>
  <c r="I39" i="41" s="1"/>
  <c r="J50" i="41"/>
  <c r="C54" i="26"/>
  <c r="H202" i="35"/>
  <c r="I76" i="58"/>
  <c r="I78" i="58"/>
  <c r="I75" i="58"/>
  <c r="I77" i="58"/>
  <c r="G54" i="26"/>
  <c r="I223" i="35"/>
  <c r="I94" i="37"/>
  <c r="I92" i="37"/>
  <c r="I91" i="37"/>
  <c r="I91" i="41" s="1"/>
  <c r="I93" i="37"/>
  <c r="J53" i="37"/>
  <c r="J54" i="37"/>
  <c r="J52" i="37"/>
  <c r="J51" i="37"/>
  <c r="J78" i="37"/>
  <c r="J75" i="37"/>
  <c r="J76" i="37"/>
  <c r="J77" i="37"/>
  <c r="J30" i="58"/>
  <c r="J28" i="58"/>
  <c r="J27" i="58"/>
  <c r="J29" i="58"/>
  <c r="I202" i="35"/>
  <c r="D54" i="26"/>
  <c r="J40" i="58"/>
  <c r="J39" i="58"/>
  <c r="J41" i="58"/>
  <c r="J42" i="58"/>
  <c r="H58" i="58"/>
  <c r="H58" i="41" s="1"/>
  <c r="H57" i="58"/>
  <c r="H57" i="41" s="1"/>
  <c r="H55" i="58"/>
  <c r="H55" i="41" s="1"/>
  <c r="H56" i="58"/>
  <c r="H56" i="41" s="1"/>
  <c r="J37" i="58"/>
  <c r="J35" i="58"/>
  <c r="J36" i="58"/>
  <c r="J38" i="58"/>
  <c r="I56" i="37"/>
  <c r="I58" i="37"/>
  <c r="I57" i="37"/>
  <c r="I55" i="37"/>
  <c r="H207" i="35"/>
  <c r="F50" i="26"/>
  <c r="I83" i="58"/>
  <c r="I83" i="41" s="1"/>
  <c r="I85" i="58"/>
  <c r="I86" i="58"/>
  <c r="I84" i="58"/>
  <c r="I84" i="41" s="1"/>
  <c r="J93" i="37"/>
  <c r="J91" i="37"/>
  <c r="J94" i="37"/>
  <c r="J92" i="37"/>
  <c r="J28" i="37"/>
  <c r="J30" i="37"/>
  <c r="J27" i="37"/>
  <c r="J29" i="37"/>
  <c r="J76" i="58"/>
  <c r="J78" i="58"/>
  <c r="J75" i="58"/>
  <c r="J77" i="58"/>
  <c r="G50" i="26"/>
  <c r="I207" i="35"/>
  <c r="J89" i="58"/>
  <c r="J88" i="58"/>
  <c r="J87" i="58"/>
  <c r="J90" i="58"/>
  <c r="H27" i="58"/>
  <c r="H27" i="41" s="1"/>
  <c r="H30" i="58"/>
  <c r="H30" i="41" s="1"/>
  <c r="H29" i="58"/>
  <c r="H29" i="41" s="1"/>
  <c r="H28" i="58"/>
  <c r="H28" i="41" s="1"/>
  <c r="F53" i="26"/>
  <c r="H219" i="35"/>
  <c r="J45" i="58"/>
  <c r="J43" i="58"/>
  <c r="J44" i="58"/>
  <c r="J46" i="58"/>
  <c r="J85" i="37"/>
  <c r="J83" i="37"/>
  <c r="J83" i="41" s="1"/>
  <c r="J84" i="37"/>
  <c r="J86" i="37"/>
  <c r="I90" i="58"/>
  <c r="I89" i="58"/>
  <c r="I88" i="58"/>
  <c r="I87" i="58"/>
  <c r="J22" i="37"/>
  <c r="J20" i="37"/>
  <c r="J19" i="37"/>
  <c r="J21" i="37"/>
  <c r="H23" i="58"/>
  <c r="H23" i="41" s="1"/>
  <c r="H25" i="58"/>
  <c r="H25" i="41" s="1"/>
  <c r="H26" i="58"/>
  <c r="H26" i="41" s="1"/>
  <c r="H24" i="58"/>
  <c r="H24" i="41" s="1"/>
  <c r="I22" i="58"/>
  <c r="I20" i="58"/>
  <c r="I19" i="58"/>
  <c r="I21" i="58"/>
  <c r="I186" i="35"/>
  <c r="D50" i="26"/>
  <c r="H71" i="58"/>
  <c r="H71" i="41" s="1"/>
  <c r="H72" i="58"/>
  <c r="H72" i="41" s="1"/>
  <c r="H73" i="58"/>
  <c r="H73" i="41" s="1"/>
  <c r="H74" i="58"/>
  <c r="H74" i="41" s="1"/>
  <c r="H194" i="35"/>
  <c r="C52" i="26"/>
  <c r="I62" i="37"/>
  <c r="I59" i="37"/>
  <c r="I60" i="37"/>
  <c r="I61" i="37"/>
  <c r="I61" i="41" s="1"/>
  <c r="H51" i="58"/>
  <c r="H51" i="41" s="1"/>
  <c r="H52" i="58"/>
  <c r="H52" i="41" s="1"/>
  <c r="H53" i="58"/>
  <c r="H53" i="41" s="1"/>
  <c r="H54" i="58"/>
  <c r="H54" i="41" s="1"/>
  <c r="J23" i="58"/>
  <c r="J25" i="58"/>
  <c r="J24" i="58"/>
  <c r="J26" i="58"/>
  <c r="I26" i="37"/>
  <c r="I25" i="37"/>
  <c r="I23" i="37"/>
  <c r="I24" i="37"/>
  <c r="J88" i="37"/>
  <c r="J90" i="37"/>
  <c r="J89" i="37"/>
  <c r="J89" i="41" s="1"/>
  <c r="J87" i="37"/>
  <c r="I76" i="37"/>
  <c r="I75" i="37"/>
  <c r="I75" i="41" s="1"/>
  <c r="I78" i="37"/>
  <c r="I77" i="37"/>
  <c r="I211" i="35"/>
  <c r="G51" i="26"/>
  <c r="H46" i="58"/>
  <c r="H46" i="41" s="1"/>
  <c r="H43" i="58"/>
  <c r="H43" i="41" s="1"/>
  <c r="H44" i="58"/>
  <c r="H44" i="41" s="1"/>
  <c r="H45" i="58"/>
  <c r="H45" i="41" s="1"/>
  <c r="I38" i="37"/>
  <c r="I37" i="37"/>
  <c r="I35" i="37"/>
  <c r="I36" i="37"/>
  <c r="H223" i="35"/>
  <c r="F54" i="26"/>
  <c r="I35" i="58"/>
  <c r="I37" i="58"/>
  <c r="I38" i="58"/>
  <c r="I36" i="58"/>
  <c r="J94" i="58"/>
  <c r="J93" i="58"/>
  <c r="J92" i="58"/>
  <c r="J91" i="58"/>
  <c r="H211" i="35"/>
  <c r="F51" i="26"/>
  <c r="H84" i="58"/>
  <c r="H84" i="41" s="1"/>
  <c r="H83" i="58"/>
  <c r="H83" i="41" s="1"/>
  <c r="H85" i="58"/>
  <c r="H85" i="41" s="1"/>
  <c r="H86" i="58"/>
  <c r="H86" i="41" s="1"/>
  <c r="J40" i="37"/>
  <c r="J42" i="37"/>
  <c r="J41" i="37"/>
  <c r="J39" i="37"/>
  <c r="I30" i="58"/>
  <c r="I29" i="58"/>
  <c r="I28" i="58"/>
  <c r="I27" i="58"/>
  <c r="I70" i="58"/>
  <c r="I69" i="58"/>
  <c r="I68" i="58"/>
  <c r="I67" i="58"/>
  <c r="J38" i="37"/>
  <c r="J37" i="37"/>
  <c r="J35" i="37"/>
  <c r="J35" i="41" s="1"/>
  <c r="J36" i="37"/>
  <c r="I58" i="58"/>
  <c r="I57" i="58"/>
  <c r="I56" i="58"/>
  <c r="I55" i="58"/>
  <c r="J20" i="58"/>
  <c r="J22" i="58"/>
  <c r="J21" i="58"/>
  <c r="J19" i="58"/>
  <c r="H38" i="58"/>
  <c r="H38" i="41" s="1"/>
  <c r="H37" i="58"/>
  <c r="H37" i="41" s="1"/>
  <c r="H35" i="58"/>
  <c r="H35" i="41" s="1"/>
  <c r="H36" i="58"/>
  <c r="H36" i="41" s="1"/>
  <c r="I43" i="58"/>
  <c r="I45" i="58"/>
  <c r="I44" i="58"/>
  <c r="I46" i="58"/>
  <c r="AL125" i="72"/>
  <c r="AL127" i="72" s="1"/>
  <c r="E33" i="26" a="1"/>
  <c r="E33" i="26" s="1"/>
  <c r="H32" i="26" a="1"/>
  <c r="H32" i="26" s="1"/>
  <c r="H36" i="26" a="1"/>
  <c r="H36" i="26" s="1"/>
  <c r="E35" i="26" a="1"/>
  <c r="E35" i="26" s="1"/>
  <c r="H33" i="26" a="1"/>
  <c r="H33" i="26" s="1"/>
  <c r="I217" i="35" s="1"/>
  <c r="E27" i="26" a="1"/>
  <c r="E27" i="26" s="1"/>
  <c r="D24" i="26" a="1"/>
  <c r="D24" i="26" s="1"/>
  <c r="F36" i="26" a="1"/>
  <c r="F36" i="26" s="1"/>
  <c r="F42" i="26" a="1"/>
  <c r="F42" i="26" s="1"/>
  <c r="F31" i="26" a="1"/>
  <c r="F31" i="26" s="1"/>
  <c r="F29" i="26" a="1"/>
  <c r="F29" i="26" s="1"/>
  <c r="E30" i="26" a="1"/>
  <c r="E30" i="26" s="1"/>
  <c r="I193" i="35" s="1"/>
  <c r="D27" i="26" a="1"/>
  <c r="D27" i="26" s="1"/>
  <c r="D30" i="26" a="1"/>
  <c r="D30" i="26" s="1"/>
  <c r="H193" i="35" s="1"/>
  <c r="J49" i="41"/>
  <c r="J47" i="41"/>
  <c r="I78" i="41" l="1"/>
  <c r="J84" i="41"/>
  <c r="I25" i="41"/>
  <c r="J39" i="41"/>
  <c r="J37" i="41"/>
  <c r="I59" i="41"/>
  <c r="I85" i="41"/>
  <c r="I41" i="41"/>
  <c r="J87" i="41"/>
  <c r="J41" i="41"/>
  <c r="J86" i="41"/>
  <c r="J42" i="41"/>
  <c r="I94" i="41"/>
  <c r="I77" i="41"/>
  <c r="J71" i="41"/>
  <c r="J90" i="41"/>
  <c r="I92" i="41"/>
  <c r="I52" i="26"/>
  <c r="J85" i="41"/>
  <c r="J62" i="41"/>
  <c r="J72" i="41"/>
  <c r="J73" i="41"/>
  <c r="I93" i="41"/>
  <c r="I60" i="41"/>
  <c r="I42" i="41"/>
  <c r="J36" i="41"/>
  <c r="J50" i="26"/>
  <c r="J54" i="26"/>
  <c r="J40" i="41"/>
  <c r="I23" i="41"/>
  <c r="I76" i="41"/>
  <c r="I24" i="41"/>
  <c r="J38" i="41"/>
  <c r="J61" i="41"/>
  <c r="I36" i="41"/>
  <c r="J27" i="41"/>
  <c r="J28" i="41"/>
  <c r="I37" i="41"/>
  <c r="H190" i="35"/>
  <c r="C51" i="26"/>
  <c r="I51" i="26" s="1"/>
  <c r="G215" i="35"/>
  <c r="E52" i="26"/>
  <c r="H52" i="26" s="1"/>
  <c r="I33" i="58"/>
  <c r="I31" i="58"/>
  <c r="I34" i="58"/>
  <c r="I32" i="58"/>
  <c r="I35" i="41"/>
  <c r="I57" i="41"/>
  <c r="J78" i="41"/>
  <c r="I88" i="41"/>
  <c r="I53" i="41"/>
  <c r="I73" i="41"/>
  <c r="I26" i="41"/>
  <c r="G226" i="35"/>
  <c r="E54" i="26"/>
  <c r="H54" i="26" s="1"/>
  <c r="J21" i="41"/>
  <c r="J92" i="41"/>
  <c r="I58" i="41"/>
  <c r="I90" i="41"/>
  <c r="I51" i="41"/>
  <c r="I71" i="41"/>
  <c r="G220" i="35"/>
  <c r="E53" i="26"/>
  <c r="H53" i="26" s="1"/>
  <c r="I38" i="41"/>
  <c r="J19" i="41"/>
  <c r="J94" i="41"/>
  <c r="I56" i="41"/>
  <c r="I87" i="41"/>
  <c r="I52" i="41"/>
  <c r="I74" i="41"/>
  <c r="H187" i="35"/>
  <c r="C50" i="26"/>
  <c r="I50" i="26" s="1"/>
  <c r="J20" i="41"/>
  <c r="J15" i="58"/>
  <c r="J18" i="58"/>
  <c r="J17" i="58"/>
  <c r="J16" i="58"/>
  <c r="J91" i="41"/>
  <c r="I79" i="37"/>
  <c r="I81" i="37"/>
  <c r="I82" i="37"/>
  <c r="I80" i="37"/>
  <c r="I89" i="41"/>
  <c r="I54" i="41"/>
  <c r="I72" i="41"/>
  <c r="I190" i="35"/>
  <c r="D51" i="26"/>
  <c r="J51" i="26" s="1"/>
  <c r="J88" i="41"/>
  <c r="J16" i="37"/>
  <c r="J16" i="41" s="1"/>
  <c r="J18" i="37"/>
  <c r="J17" i="37"/>
  <c r="J15" i="37"/>
  <c r="J22" i="41"/>
  <c r="J93" i="41"/>
  <c r="J80" i="37"/>
  <c r="J82" i="37"/>
  <c r="J81" i="37"/>
  <c r="J79" i="37"/>
  <c r="I54" i="26"/>
  <c r="I27" i="41"/>
  <c r="I69" i="41"/>
  <c r="I86" i="41"/>
  <c r="J58" i="58"/>
  <c r="J56" i="58"/>
  <c r="J57" i="58"/>
  <c r="J55" i="58"/>
  <c r="I65" i="58"/>
  <c r="I63" i="58"/>
  <c r="I64" i="58"/>
  <c r="I66" i="58"/>
  <c r="J29" i="41"/>
  <c r="I29" i="41"/>
  <c r="I68" i="41"/>
  <c r="I46" i="37"/>
  <c r="I46" i="41" s="1"/>
  <c r="I44" i="37"/>
  <c r="I44" i="41" s="1"/>
  <c r="I43" i="37"/>
  <c r="I43" i="41" s="1"/>
  <c r="I45" i="37"/>
  <c r="I45" i="41" s="1"/>
  <c r="D53" i="26"/>
  <c r="I198" i="35"/>
  <c r="I28" i="41"/>
  <c r="I67" i="41"/>
  <c r="I220" i="35"/>
  <c r="G53" i="26"/>
  <c r="I30" i="41"/>
  <c r="I70" i="41"/>
  <c r="I62" i="41"/>
  <c r="I216" i="35"/>
  <c r="G52" i="26"/>
  <c r="J33" i="58"/>
  <c r="J31" i="58"/>
  <c r="J32" i="58"/>
  <c r="J34" i="58"/>
  <c r="J25" i="41"/>
  <c r="J60" i="41"/>
  <c r="I65" i="37"/>
  <c r="I63" i="37"/>
  <c r="I66" i="37"/>
  <c r="I64" i="37"/>
  <c r="I196" i="35"/>
  <c r="D52" i="26"/>
  <c r="J77" i="41"/>
  <c r="J82" i="58"/>
  <c r="J79" i="58"/>
  <c r="J81" i="58"/>
  <c r="J80" i="58"/>
  <c r="J23" i="41"/>
  <c r="J59" i="41"/>
  <c r="I53" i="26"/>
  <c r="J44" i="37"/>
  <c r="J44" i="41" s="1"/>
  <c r="J45" i="37"/>
  <c r="J45" i="41" s="1"/>
  <c r="J46" i="37"/>
  <c r="J46" i="41" s="1"/>
  <c r="J43" i="37"/>
  <c r="J43" i="41" s="1"/>
  <c r="I80" i="58"/>
  <c r="I81" i="58"/>
  <c r="I82" i="58"/>
  <c r="I79" i="58"/>
  <c r="I48" i="37"/>
  <c r="I47" i="37"/>
  <c r="I50" i="37"/>
  <c r="I49" i="37"/>
  <c r="I17" i="58"/>
  <c r="I18" i="58"/>
  <c r="I18" i="41" s="1"/>
  <c r="I15" i="58"/>
  <c r="I16" i="58"/>
  <c r="I16" i="41" s="1"/>
  <c r="J76" i="41"/>
  <c r="J26" i="41"/>
  <c r="G213" i="35"/>
  <c r="E51" i="26"/>
  <c r="H51" i="26" s="1"/>
  <c r="J30" i="41"/>
  <c r="I55" i="41"/>
  <c r="J75" i="41"/>
  <c r="H18" i="58"/>
  <c r="H18" i="41" s="1"/>
  <c r="H16" i="58"/>
  <c r="H16" i="41" s="1"/>
  <c r="H15" i="58"/>
  <c r="H15" i="41" s="1"/>
  <c r="H17" i="58"/>
  <c r="H17" i="41" s="1"/>
  <c r="J24" i="41"/>
  <c r="I50" i="58"/>
  <c r="I49" i="58"/>
  <c r="I49" i="41" s="1"/>
  <c r="I48" i="58"/>
  <c r="I47" i="58"/>
  <c r="I48" i="41" l="1"/>
  <c r="I50" i="41"/>
  <c r="J17" i="41"/>
  <c r="J53" i="26"/>
  <c r="J15" i="41"/>
  <c r="I63" i="41"/>
  <c r="J52" i="26"/>
  <c r="I64" i="41"/>
  <c r="J18" i="41"/>
  <c r="I66" i="41"/>
  <c r="I47" i="41"/>
  <c r="J67" i="58"/>
  <c r="J67" i="41" s="1"/>
  <c r="J68" i="58"/>
  <c r="J68" i="41" s="1"/>
  <c r="J69" i="58"/>
  <c r="J69" i="41" s="1"/>
  <c r="J70" i="58"/>
  <c r="J70" i="41" s="1"/>
  <c r="J79" i="41"/>
  <c r="J31" i="37"/>
  <c r="J34" i="37"/>
  <c r="J34" i="41" s="1"/>
  <c r="J32" i="37"/>
  <c r="J32" i="41" s="1"/>
  <c r="J33" i="37"/>
  <c r="H69" i="58"/>
  <c r="H69" i="41" s="1"/>
  <c r="H70" i="58"/>
  <c r="H70" i="41" s="1"/>
  <c r="H68" i="58"/>
  <c r="H68" i="41" s="1"/>
  <c r="H67" i="58"/>
  <c r="H67" i="41" s="1"/>
  <c r="J81" i="41"/>
  <c r="J82" i="41"/>
  <c r="J65" i="37"/>
  <c r="J65" i="41" s="1"/>
  <c r="J63" i="37"/>
  <c r="J63" i="41" s="1"/>
  <c r="J64" i="37"/>
  <c r="J64" i="41" s="1"/>
  <c r="J66" i="37"/>
  <c r="J66" i="41" s="1"/>
  <c r="J80" i="41"/>
  <c r="I19" i="37"/>
  <c r="I21" i="37"/>
  <c r="I20" i="37"/>
  <c r="I20" i="41" s="1"/>
  <c r="I22" i="37"/>
  <c r="I22" i="41" s="1"/>
  <c r="H40" i="58"/>
  <c r="H40" i="41" s="1"/>
  <c r="H42" i="58"/>
  <c r="H42" i="41" s="1"/>
  <c r="H41" i="58"/>
  <c r="H41" i="41" s="1"/>
  <c r="H39" i="58"/>
  <c r="I80" i="41"/>
  <c r="I82" i="41"/>
  <c r="I81" i="41"/>
  <c r="J58" i="37"/>
  <c r="J58" i="41" s="1"/>
  <c r="J56" i="37"/>
  <c r="J56" i="41" s="1"/>
  <c r="J57" i="37"/>
  <c r="J57" i="41" s="1"/>
  <c r="J55" i="37"/>
  <c r="J55" i="41" s="1"/>
  <c r="J53" i="58"/>
  <c r="J54" i="58"/>
  <c r="J52" i="58"/>
  <c r="J51" i="58"/>
  <c r="J51" i="41" s="1"/>
  <c r="I79" i="41"/>
  <c r="H93" i="58"/>
  <c r="H93" i="41" s="1"/>
  <c r="H91" i="58"/>
  <c r="H91" i="41" s="1"/>
  <c r="H94" i="58"/>
  <c r="H94" i="41" s="1"/>
  <c r="H92" i="58"/>
  <c r="H92" i="41" s="1"/>
  <c r="I15" i="41"/>
  <c r="I424" i="58"/>
  <c r="G242" i="66" s="1"/>
  <c r="I423" i="58"/>
  <c r="C48" i="63"/>
  <c r="I17" i="41"/>
  <c r="H48" i="58"/>
  <c r="H48" i="41" s="1"/>
  <c r="H49" i="58"/>
  <c r="H49" i="41" s="1"/>
  <c r="H50" i="58"/>
  <c r="H50" i="41" s="1"/>
  <c r="H47" i="58"/>
  <c r="H47" i="41" s="1"/>
  <c r="I65" i="41"/>
  <c r="I33" i="37"/>
  <c r="I33" i="41" s="1"/>
  <c r="I34" i="37"/>
  <c r="I34" i="41" s="1"/>
  <c r="I32" i="37"/>
  <c r="I32" i="41" s="1"/>
  <c r="I31" i="37"/>
  <c r="I31" i="41" s="1"/>
  <c r="C58" i="63" l="1"/>
  <c r="C38" i="63"/>
  <c r="I19" i="41"/>
  <c r="I423" i="37"/>
  <c r="I424" i="37"/>
  <c r="J423" i="58"/>
  <c r="E23" i="53"/>
  <c r="F23" i="53" s="1"/>
  <c r="J424" i="58"/>
  <c r="E35" i="53" s="1"/>
  <c r="F35" i="53" s="1"/>
  <c r="H29" i="53" s="1"/>
  <c r="J33" i="41"/>
  <c r="C28" i="63"/>
  <c r="H424" i="58"/>
  <c r="H39" i="41"/>
  <c r="H423" i="58"/>
  <c r="J31" i="41"/>
  <c r="J424" i="37"/>
  <c r="J52" i="41"/>
  <c r="G290" i="66"/>
  <c r="J54" i="41"/>
  <c r="J53" i="41"/>
  <c r="G243" i="66"/>
  <c r="I425" i="58"/>
  <c r="E323" i="38"/>
  <c r="N243" i="66" s="1"/>
  <c r="AB243" i="66" s="1"/>
  <c r="AC243" i="66" s="1"/>
  <c r="J423" i="37"/>
  <c r="I21" i="41"/>
  <c r="C18" i="63"/>
  <c r="J425" i="58" l="1"/>
  <c r="C52" i="63" s="1"/>
  <c r="I425" i="37"/>
  <c r="I425" i="41" s="1"/>
  <c r="N3" i="41" s="1"/>
  <c r="C42" i="63"/>
  <c r="C49" i="63"/>
  <c r="O243" i="66"/>
  <c r="H424" i="41"/>
  <c r="E11" i="53"/>
  <c r="F11" i="53" s="1"/>
  <c r="G194" i="66"/>
  <c r="G50" i="74" s="1"/>
  <c r="H17" i="53"/>
  <c r="E347" i="38"/>
  <c r="N291" i="66" s="1"/>
  <c r="G291" i="66"/>
  <c r="E17" i="53"/>
  <c r="F17" i="53" s="1"/>
  <c r="H23" i="53" s="1"/>
  <c r="G23" i="53" s="1"/>
  <c r="E317" i="38" s="1"/>
  <c r="G98" i="66"/>
  <c r="G98" i="74" s="1"/>
  <c r="I424" i="41"/>
  <c r="E29" i="53"/>
  <c r="F29" i="53" s="1"/>
  <c r="J424" i="41"/>
  <c r="G146" i="66"/>
  <c r="G146" i="74" s="1"/>
  <c r="E311" i="38"/>
  <c r="N99" i="66" s="1"/>
  <c r="N99" i="74" s="1"/>
  <c r="I423" i="41"/>
  <c r="G99" i="66"/>
  <c r="J423" i="41"/>
  <c r="G147" i="66"/>
  <c r="E335" i="38"/>
  <c r="N147" i="66" s="1"/>
  <c r="J425" i="37"/>
  <c r="H423" i="41"/>
  <c r="G195" i="66"/>
  <c r="E299" i="38"/>
  <c r="N195" i="66" s="1"/>
  <c r="N51" i="74" s="1"/>
  <c r="H425" i="58"/>
  <c r="C59" i="63" l="1"/>
  <c r="C19" i="63"/>
  <c r="C12" i="63"/>
  <c r="AB291" i="66"/>
  <c r="AC291" i="66" s="1"/>
  <c r="M242" i="66"/>
  <c r="I484" i="58"/>
  <c r="G99" i="74"/>
  <c r="AB99" i="66"/>
  <c r="AC99" i="66" s="1"/>
  <c r="O99" i="66"/>
  <c r="G17" i="53"/>
  <c r="E305" i="38" s="1"/>
  <c r="G11" i="53"/>
  <c r="E293" i="38" s="1"/>
  <c r="H5" i="53"/>
  <c r="G5" i="53" s="1"/>
  <c r="E281" i="38" s="1"/>
  <c r="H425" i="41"/>
  <c r="M3" i="41" s="1"/>
  <c r="C39" i="63"/>
  <c r="C32" i="63"/>
  <c r="H35" i="53"/>
  <c r="G35" i="53" s="1"/>
  <c r="E341" i="38" s="1"/>
  <c r="G29" i="53"/>
  <c r="E329" i="38" s="1"/>
  <c r="AB195" i="66"/>
  <c r="AC195" i="66" s="1"/>
  <c r="O195" i="66"/>
  <c r="G51" i="74"/>
  <c r="C29" i="63"/>
  <c r="J425" i="41"/>
  <c r="O3" i="41" s="1"/>
  <c r="C22" i="63"/>
  <c r="N147" i="74"/>
  <c r="O291" i="66"/>
  <c r="G147" i="74"/>
  <c r="AB147" i="66"/>
  <c r="AC147" i="66" s="1"/>
  <c r="O147" i="66"/>
  <c r="O147" i="74" l="1"/>
  <c r="AC147" i="74"/>
  <c r="AD147" i="74" s="1"/>
  <c r="J484" i="58"/>
  <c r="M290" i="66"/>
  <c r="H484" i="37"/>
  <c r="M50" i="66"/>
  <c r="H484" i="58"/>
  <c r="M194" i="66"/>
  <c r="I484" i="37"/>
  <c r="I484" i="41" s="1"/>
  <c r="M98" i="66"/>
  <c r="O51" i="74"/>
  <c r="AC51" i="74"/>
  <c r="AD51" i="74" s="1"/>
  <c r="AA99" i="66"/>
  <c r="Z243" i="66"/>
  <c r="Z99" i="66"/>
  <c r="AA243" i="66"/>
  <c r="AA147" i="74"/>
  <c r="Z147" i="74"/>
  <c r="Z51" i="66"/>
  <c r="AA51" i="66"/>
  <c r="Z195" i="66"/>
  <c r="AA195" i="66"/>
  <c r="O99" i="74"/>
  <c r="AC99" i="74"/>
  <c r="AD99" i="74" s="1"/>
  <c r="Z291" i="66"/>
  <c r="AA147" i="66"/>
  <c r="Z147" i="66"/>
  <c r="AA291" i="66"/>
  <c r="J484" i="37"/>
  <c r="M146" i="66"/>
  <c r="Q242" i="66"/>
  <c r="AB242" i="66"/>
  <c r="AC242" i="66" s="1"/>
  <c r="O242" i="66"/>
  <c r="J484" i="41" l="1"/>
  <c r="AA99" i="74"/>
  <c r="Z99" i="74"/>
  <c r="Z51" i="74"/>
  <c r="AA51" i="74"/>
  <c r="Q98" i="66"/>
  <c r="M98" i="74"/>
  <c r="O98" i="66"/>
  <c r="P242" i="66" s="1"/>
  <c r="AB98" i="66"/>
  <c r="AC98" i="66" s="1"/>
  <c r="AE2" i="66" s="1"/>
  <c r="O194" i="66"/>
  <c r="Q194" i="66"/>
  <c r="W194" i="66" s="1"/>
  <c r="Y194" i="66" s="1"/>
  <c r="S194" i="66"/>
  <c r="U194" i="66" s="1"/>
  <c r="AB194" i="66"/>
  <c r="AC194" i="66" s="1"/>
  <c r="Q146" i="66"/>
  <c r="M146" i="74"/>
  <c r="AB146" i="66"/>
  <c r="AC146" i="66" s="1"/>
  <c r="AE3" i="66" s="1"/>
  <c r="O146" i="66"/>
  <c r="M50" i="74"/>
  <c r="AB50" i="66"/>
  <c r="AC50" i="66" s="1"/>
  <c r="AE1" i="66" s="1"/>
  <c r="S50" i="66"/>
  <c r="U50" i="66" s="1"/>
  <c r="O50" i="66"/>
  <c r="Q50" i="66"/>
  <c r="W50" i="66" s="1"/>
  <c r="Y50" i="66" s="1"/>
  <c r="H484" i="41"/>
  <c r="O290" i="66"/>
  <c r="Q290" i="66"/>
  <c r="AB290" i="66"/>
  <c r="AC290" i="66" s="1"/>
  <c r="W242" i="66" l="1"/>
  <c r="Y242" i="66" s="1"/>
  <c r="R242" i="66"/>
  <c r="S242" i="66" s="1"/>
  <c r="U242" i="66" s="1"/>
  <c r="V242" i="66"/>
  <c r="P194" i="66"/>
  <c r="Z50" i="66"/>
  <c r="AA194" i="66"/>
  <c r="Z194" i="66"/>
  <c r="AA50" i="66"/>
  <c r="P50" i="66"/>
  <c r="AA98" i="66"/>
  <c r="P98" i="66"/>
  <c r="Z98" i="66"/>
  <c r="Z242" i="66"/>
  <c r="AA242" i="66"/>
  <c r="AC98" i="74"/>
  <c r="AD98" i="74" s="1"/>
  <c r="AF2" i="74" s="1"/>
  <c r="Q98" i="74"/>
  <c r="O98" i="74"/>
  <c r="AC50" i="74"/>
  <c r="AD50" i="74" s="1"/>
  <c r="AF1" i="74" s="1"/>
  <c r="Q50" i="74"/>
  <c r="W50" i="74" s="1"/>
  <c r="Y50" i="74" s="1"/>
  <c r="O50" i="74"/>
  <c r="S50" i="74"/>
  <c r="U50" i="74" s="1"/>
  <c r="P290" i="66"/>
  <c r="AA146" i="66"/>
  <c r="P146" i="66"/>
  <c r="AA290" i="66"/>
  <c r="Z146" i="66"/>
  <c r="Z290" i="66"/>
  <c r="O146" i="74"/>
  <c r="Q146" i="74"/>
  <c r="AC146" i="74"/>
  <c r="AD146" i="74" s="1"/>
  <c r="AF3" i="74" s="1"/>
  <c r="V146" i="66" l="1"/>
  <c r="W146" i="66"/>
  <c r="Y146" i="66" s="1"/>
  <c r="R146" i="66"/>
  <c r="S146" i="66" s="1"/>
  <c r="U146" i="66" s="1"/>
  <c r="W98" i="66"/>
  <c r="Y98" i="66" s="1"/>
  <c r="V98" i="66"/>
  <c r="R98" i="66"/>
  <c r="S98" i="66" s="1"/>
  <c r="U98" i="66" s="1"/>
  <c r="V50" i="66"/>
  <c r="R50" i="66"/>
  <c r="V290" i="66"/>
  <c r="R290" i="66"/>
  <c r="S290" i="66" s="1"/>
  <c r="U290" i="66" s="1"/>
  <c r="W290" i="66"/>
  <c r="Y290" i="66" s="1"/>
  <c r="AA50" i="74"/>
  <c r="Z50" i="74"/>
  <c r="P50" i="74"/>
  <c r="AA146" i="74"/>
  <c r="P146" i="74"/>
  <c r="Z146" i="74"/>
  <c r="AA98" i="74"/>
  <c r="P98" i="74"/>
  <c r="Z98" i="74"/>
  <c r="V194" i="66"/>
  <c r="R194" i="66"/>
  <c r="R50" i="74" l="1"/>
  <c r="V50" i="74"/>
  <c r="R98" i="74"/>
  <c r="S98" i="74" s="1"/>
  <c r="U98" i="74" s="1"/>
  <c r="W98" i="74"/>
  <c r="Y98" i="74" s="1"/>
  <c r="V98" i="74"/>
  <c r="W146" i="74"/>
  <c r="Y146" i="74" s="1"/>
  <c r="R146" i="74"/>
  <c r="S146" i="74" s="1"/>
  <c r="U146" i="74" s="1"/>
  <c r="V146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<sst xmlns="http://schemas.openxmlformats.org/spreadsheetml/2006/main" count="4963" uniqueCount="378">
  <si>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</si>
  <si>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</si>
  <si>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</si>
  <si>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</si>
  <si>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</si>
  <si>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</si>
  <si>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</si>
  <si>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</si>
  <si>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</si>
  <si>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</si>
  <si>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</si>
  <si>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</si>
  <si>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</si>
  <si>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</si>
  <si>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</si>
  <si>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</si>
  <si>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</si>
  <si>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</si>
  <si>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</si>
  <si>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</si>
  <si>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</si>
  <si>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</si>
  <si>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</si>
  <si>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</si>
  <si>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</si>
  <si>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</si>
  <si>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</si>
  <si>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</si>
  <si>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</si>
  <si>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</si>
  <si>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</si>
  <si>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</si>
  <si>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</si>
  <si>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</si>
  <si>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</si>
  <si>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</si>
  <si>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</si>
  <si>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</si>
  <si>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</si>
  <si>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</si>
  <si>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</si>
  <si>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</si>
  <si>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</si>
  <si>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</si>
  <si>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</si>
  <si>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</si>
  <si>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</si>
  <si>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</si>
  <si>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</si>
  <si>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</si>
  <si>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</si>
  <si>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</si>
  <si>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</si>
  <si>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</si>
  <si>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</si>
  <si>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</si>
  <si>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</si>
  <si>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</si>
  <si>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</si>
  <si>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</si>
  <si>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</si>
  <si>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</si>
  <si>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</si>
  <si>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</si>
  <si>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</si>
  <si>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</si>
  <si>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</si>
  <si>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</si>
  <si>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</si>
  <si>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</si>
  <si>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</si>
  <si>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</si>
  <si>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</si>
  <si>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</si>
  <si>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</si>
  <si>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</si>
  <si>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</si>
  <si>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</si>
  <si>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</si>
  <si>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</si>
  <si>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</si>
  <si>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</si>
  <si>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</si>
  <si>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</si>
  <si>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</si>
  <si>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</si>
  <si>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</si>
  <si>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</si>
  <si>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</si>
  <si>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</si>
  <si>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</si>
  <si>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</si>
  <si>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</si>
  <si>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</si>
  <si>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</si>
  <si>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</si>
  <si>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</si>
  <si>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</si>
  <si>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</si>
  <si>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</si>
  <si>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</si>
  <si>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</si>
  <si>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</si>
  <si>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</si>
  <si>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</si>
  <si>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</si>
  <si>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</si>
  <si>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</si>
  <si>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</si>
  <si>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</si>
  <si>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</si>
  <si>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</si>
  <si>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</si>
  <si>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</si>
  <si>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</si>
  <si>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</si>
  <si>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</si>
  <si>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</si>
  <si>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</si>
  <si>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</si>
  <si>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</si>
  <si>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</si>
  <si>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</si>
  <si>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</si>
  <si>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</si>
  <si>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</si>
  <si>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</si>
  <si>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</si>
  <si>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</si>
  <si>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</si>
  <si>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</si>
  <si>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</si>
  <si>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</si>
  <si>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</si>
  <si>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</si>
  <si>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</si>
  <si>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</si>
  <si>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</si>
  <si>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</si>
  <si>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</si>
  <si>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</si>
  <si>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</si>
  <si>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</si>
  <si>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</si>
  <si>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</si>
  <si>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</si>
  <si>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</si>
  <si>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</si>
  <si>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</si>
  <si>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</si>
  <si>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</si>
  <si>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</si>
  <si>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</si>
  <si>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</si>
  <si>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</si>
  <si>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</si>
  <si>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</si>
  <si>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</si>
  <si>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</si>
  <si>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</si>
  <si>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</si>
  <si>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</si>
  <si>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</si>
  <si>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</si>
  <si>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</si>
  <si>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</si>
  <si>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</si>
  <si>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</si>
  <si>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</si>
  <si>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</si>
  <si>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</si>
  <si>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</si>
  <si>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</si>
  <si>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</si>
  <si>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</si>
  <si>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</si>
  <si>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</si>
  <si>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</si>
  <si>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</si>
  <si>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</si>
  <si>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</si>
  <si>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</si>
  <si>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</si>
  <si>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</si>
  <si>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</si>
  <si>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</si>
  <si>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</si>
  <si>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</si>
  <si>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</si>
  <si>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</si>
  <si>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</si>
  <si>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</si>
  <si>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</si>
  <si>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</si>
  <si>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</si>
  <si>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</si>
  <si>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</si>
  <si>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</si>
  <si>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</si>
  <si>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</si>
  <si>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</si>
  <si>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</si>
  <si>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</si>
  <si>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</si>
  <si>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</si>
  <si>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</si>
  <si>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</si>
  <si>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</si>
  <si>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</si>
  <si>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</si>
  <si>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</si>
  <si>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</si>
  <si>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</si>
  <si>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</si>
  <si>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</si>
  <si>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</si>
  <si>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</si>
  <si>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</si>
  <si>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</si>
  <si>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</si>
  <si>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</si>
  <si>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</si>
  <si>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</si>
  <si>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</si>
  <si>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</si>
  <si>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</si>
  <si>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</si>
  <si>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</si>
  <si>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</si>
  <si>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</si>
  <si>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</si>
  <si>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</si>
  <si>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</si>
  <si>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</si>
  <si>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</si>
  <si>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</si>
  <si>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</si>
  <si>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</si>
  <si>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</si>
  <si>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</si>
  <si>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</si>
  <si>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</si>
  <si>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</si>
  <si>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</si>
  <si>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</si>
  <si>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</si>
  <si>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</si>
  <si>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</si>
  <si>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</si>
  <si>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</si>
  <si>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</si>
  <si>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</si>
  <si>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</si>
  <si>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</si>
  <si>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</si>
  <si>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</si>
  <si>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</si>
  <si>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</si>
  <si>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</si>
  <si>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</si>
  <si>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</si>
  <si>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</si>
  <si>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</si>
  <si>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</si>
  <si>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</si>
  <si>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</si>
  <si>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</si>
  <si>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</si>
  <si>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</si>
  <si>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</si>
  <si>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</si>
  <si>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</si>
  <si>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</si>
  <si>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</si>
  <si>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</si>
  <si>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</si>
  <si>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</si>
  <si>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</si>
  <si>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</si>
  <si>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</si>
  <si>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</si>
  <si>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</si>
  <si>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</si>
  <si>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</si>
  <si>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</si>
  <si>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</si>
  <si>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</si>
  <si>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</si>
  <si>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</si>
  <si>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</si>
  <si>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</si>
  <si>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</si>
  <si>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</si>
  <si>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</si>
  <si>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</si>
  <si>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</si>
  <si>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</si>
  <si>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</si>
  <si>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</si>
  <si>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</si>
  <si>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</si>
  <si>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</si>
  <si>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</si>
  <si>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</si>
  <si>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</si>
  <si>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</si>
  <si>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</si>
  <si>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</si>
  <si>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</si>
  <si>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</si>
  <si>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</si>
  <si>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</si>
  <si>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</si>
  <si>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</si>
  <si>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</si>
  <si>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</si>
  <si>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</si>
  <si>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</si>
  <si>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</si>
  <si>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</si>
  <si>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</si>
  <si>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</si>
  <si>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</si>
  <si>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</si>
  <si>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</si>
  <si>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</si>
  <si>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</si>
  <si>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</si>
  <si>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</si>
  <si>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</si>
  <si>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</si>
  <si>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</si>
  <si>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</si>
  <si>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</si>
  <si>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</si>
  <si>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</si>
  <si>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</si>
  <si>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</si>
  <si>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</si>
  <si>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</si>
  <si>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</si>
  <si>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</si>
  <si>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</si>
  <si>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Cereals - excluding beer</t>
  </si>
  <si>
    <t>Starchy roots</t>
  </si>
  <si>
    <t>Sugar crops</t>
  </si>
  <si>
    <t>Sugar &amp; sweeteners</t>
  </si>
  <si>
    <t>Pulses</t>
  </si>
  <si>
    <t>Treenuts</t>
  </si>
  <si>
    <t>Oilcrops</t>
  </si>
  <si>
    <t>Vegetable oils</t>
  </si>
  <si>
    <t>Vegetables</t>
  </si>
  <si>
    <t>Fruits - excluding wine</t>
  </si>
  <si>
    <t>Stimulants</t>
  </si>
  <si>
    <t>Spices</t>
  </si>
  <si>
    <t>Alcoholic beverages</t>
  </si>
  <si>
    <t>Meat</t>
  </si>
  <si>
    <t>Offals</t>
  </si>
  <si>
    <t>Animal fats</t>
  </si>
  <si>
    <t>Eggs</t>
  </si>
  <si>
    <t>Milk - excluding butter</t>
  </si>
  <si>
    <t>Fish, seafood</t>
  </si>
  <si>
    <t>Aquatic products, other</t>
  </si>
  <si>
    <t>Miscellaneous</t>
  </si>
  <si>
    <t>Nødder</t>
  </si>
  <si>
    <t>Stimulanter</t>
  </si>
  <si>
    <t>Krydderier</t>
  </si>
  <si>
    <t>Rapport</t>
  </si>
  <si>
    <t>Fisk mm</t>
  </si>
  <si>
    <t>Olieafgrøder</t>
  </si>
  <si>
    <t>Model</t>
  </si>
  <si>
    <t>Gruppe</t>
  </si>
  <si>
    <t>billion kcal</t>
  </si>
  <si>
    <t>Difference 2019</t>
  </si>
  <si>
    <t>kcal</t>
  </si>
  <si>
    <t>ton</t>
  </si>
  <si>
    <t>https://static-curis.ku.dk/portal/files/209323723/IFRO_Udredning_2016_30.pdf</t>
  </si>
  <si>
    <t>kton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</si>
</sst>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46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0" fontId="18" fillId="0" borderId="0" xfId="1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0" fillId="63" borderId="0" xfId="0" applyFill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3.xml"/><Relationship Id="rId47" Type="http://schemas.openxmlformats.org/officeDocument/2006/relationships/pivotCacheDefinition" Target="pivotCache/pivotCacheDefinition8.xml"/><Relationship Id="rId50" Type="http://schemas.openxmlformats.org/officeDocument/2006/relationships/sharedStrings" Target="sharedString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1.xml"/><Relationship Id="rId45" Type="http://schemas.openxmlformats.org/officeDocument/2006/relationships/pivotCacheDefinition" Target="pivotCache/pivotCacheDefinition6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5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4.xml"/><Relationship Id="rId48" Type="http://schemas.openxmlformats.org/officeDocument/2006/relationships/theme" Target="theme/theme1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7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2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2487929.2592592589</c:v>
                </c:pt>
                <c:pt idx="2">
                  <c:v>2228670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531515.92592592596</c:v>
                </c:pt>
                <c:pt idx="2">
                  <c:v>605590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74465.960662957616</c:v>
                </c:pt>
                <c:pt idx="2">
                  <c:v>67401.823042054006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4965.7278060180488</c:v>
                </c:pt>
                <c:pt idx="2">
                  <c:v>4544.0123810345967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274118.94849419035</c:v>
                </c:pt>
                <c:pt idx="2">
                  <c:v>232820.24745657752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12403.430241602413</c:v>
                </c:pt>
                <c:pt idx="2">
                  <c:v>11446.944760904047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18343.468531193015</c:v>
                </c:pt>
                <c:pt idx="2">
                  <c:v>16591.471711632348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53126.188735828859</c:v>
                </c:pt>
                <c:pt idx="2">
                  <c:v>47414.837867163187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1297917.718029706</c:v>
                </c:pt>
                <c:pt idx="2">
                  <c:v>1183051.5320061678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174456.26406747426</c:v>
                </c:pt>
                <c:pt idx="2">
                  <c:v>157504.132423776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67756.15488584133</c:v>
                </c:pt>
                <c:pt idx="2">
                  <c:v>61408.179534528455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156813.07759481133</c:v>
                </c:pt>
                <c:pt idx="2">
                  <c:v>143705.68991029685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33091.703230921303</c:v>
                </c:pt>
                <c:pt idx="2">
                  <c:v>31310.50853367247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207998.55904521749</c:v>
                </c:pt>
                <c:pt idx="2">
                  <c:v>171131.79922201723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8158.5416009002738</c:v>
                </c:pt>
                <c:pt idx="2">
                  <c:v>6935.410038090351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104313.51633259642</c:v>
                </c:pt>
                <c:pt idx="2">
                  <c:v>93403.411112084825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14.678649289287103</c:v>
                </c:pt>
                <c:pt idx="2">
                  <c:v>10.068588212156007</c:v>
                </c:pt>
                <c:pt idx="3">
                  <c:v>7.483154704207001</c:v>
                </c:pt>
                <c:pt idx="4">
                  <c:v>4.0123558190228108</c:v>
                </c:pt>
                <c:pt idx="5">
                  <c:v>5.0872686366759083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20.46888379301523</c:v>
                </c:pt>
                <c:pt idx="2">
                  <c:v>17.507230362576006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43.745095635723615</c:v>
                </c:pt>
                <c:pt idx="2">
                  <c:v>48.680669859134994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0.9767157123837249</c:v>
                </c:pt>
                <c:pt idx="2">
                  <c:v>0.38540174937787086</c:v>
                </c:pt>
                <c:pt idx="3">
                  <c:v>5.0922829580050024</c:v>
                </c:pt>
                <c:pt idx="4">
                  <c:v>15.376338739383602</c:v>
                </c:pt>
                <c:pt idx="5">
                  <c:v>17.565716583876835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7.8112428316740701</c:v>
                </c:pt>
                <c:pt idx="2">
                  <c:v>7.5264568791286592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45.382683089213458</c:v>
                </c:pt>
                <c:pt idx="2">
                  <c:v>45.77603591800802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1137423.5648385542</c:v>
                </c:pt>
                <c:pt idx="2">
                  <c:v>1150052.3061987155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2239888.1288856766</c:v>
                </c:pt>
                <c:pt idx="2">
                  <c:v>1790512.7192554944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3665250.2773501943</c:v>
                </c:pt>
                <c:pt idx="2">
                  <c:v>4069006.9406604851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2210080.3180264877</c:v>
                </c:pt>
                <c:pt idx="2">
                  <c:v>2433815.2686092323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1503974.5536280596</c:v>
                </c:pt>
                <c:pt idx="2">
                  <c:v>1523026.0725507722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70594.781553755733</c:v>
                </c:pt>
                <c:pt idx="5">
                  <c:v>67285.125780707793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2189034.0302520012</c:v>
                </c:pt>
                <c:pt idx="2">
                  <c:v>2591309.4281482003</c:v>
                </c:pt>
                <c:pt idx="15">
                  <c:v>823764.99285714305</c:v>
                </c:pt>
                <c:pt idx="16">
                  <c:v>276235.24667465733</c:v>
                </c:pt>
                <c:pt idx="17">
                  <c:v>108999.52356496397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13394379.31674801</c:v>
                </c:pt>
                <c:pt idx="5">
                  <c:v>12766418.101253457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846156.89556793321</c:v>
                </c:pt>
                <c:pt idx="5">
                  <c:v>806486.99373265042</c:v>
                </c:pt>
                <c:pt idx="9">
                  <c:v>1895494.5192748301</c:v>
                </c:pt>
                <c:pt idx="10">
                  <c:v>3440673.5939957332</c:v>
                </c:pt>
                <c:pt idx="11">
                  <c:v>3943177.206576285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5284803.7857603254</c:v>
                </c:pt>
                <c:pt idx="5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6434910.4352402603</c:v>
                </c:pt>
                <c:pt idx="5">
                  <c:v>6133226.1180386841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1658977.3665132597</c:v>
                </c:pt>
                <c:pt idx="5">
                  <c:v>1581200.4558466333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6191750.632110659</c:v>
                </c:pt>
                <c:pt idx="5">
                  <c:v>5901466.2403495796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697432.39568518498</c:v>
                </c:pt>
                <c:pt idx="20">
                  <c:v>672005.07849363028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920673.60943023092</c:v>
                </c:pt>
                <c:pt idx="5">
                  <c:v>877510.18205673085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43141.255393961845</c:v>
                </c:pt>
                <c:pt idx="5">
                  <c:v>41118.687977099209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12485034.123782061</c:v>
                </c:pt>
                <c:pt idx="2">
                  <c:v>13384026.259465635</c:v>
                </c:pt>
                <c:pt idx="15">
                  <c:v>14742130.666666664</c:v>
                </c:pt>
                <c:pt idx="16">
                  <c:v>4161678.0412606872</c:v>
                </c:pt>
                <c:pt idx="17">
                  <c:v>1487114.0288295147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209871.78410050535</c:v>
                </c:pt>
                <c:pt idx="11">
                  <c:v>183432.40969824954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234335.4554353836</c:v>
                </c:pt>
                <c:pt idx="5">
                  <c:v>223349.23696651615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223178.36661925918</c:v>
                </c:pt>
                <c:pt idx="11">
                  <c:v>215041.6251179617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23357523.299669795</c:v>
                </c:pt>
                <c:pt idx="17">
                  <c:v>26291745.297047496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925665.22791706468</c:v>
                </c:pt>
                <c:pt idx="17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B60-A9ED-787A209D6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2487929.2592592589</c:v>
                </c:pt>
                <c:pt idx="2">
                  <c:v>2228670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531515.92592592596</c:v>
                </c:pt>
                <c:pt idx="2">
                  <c:v>605590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627224.81481481483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2-413B-A4EA-68F7D5889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5458126.7080017729</c:v>
                </c:pt>
                <c:pt idx="2">
                  <c:v>5346052.9408816844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8758493.8205350302</c:v>
                </c:pt>
                <c:pt idx="2">
                  <c:v>5988081.1767114392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-1506235.598111971</c:v>
                </c:pt>
                <c:pt idx="2">
                  <c:v>-3453383.6897283746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-465812.99708206637</c:v>
                </c:pt>
                <c:pt idx="2">
                  <c:v>-531599.37200353772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-608453.5670373945</c:v>
                </c:pt>
                <c:pt idx="2">
                  <c:v>-1366687.5910038012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11635959.929105373</c:v>
                </c:pt>
                <c:pt idx="2">
                  <c:v>5982305.027657412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0-4CDC-AB54-42203DF4F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2864790.7596825948</c:v>
                </c:pt>
                <c:pt idx="2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788679.64758670493</c:v>
                </c:pt>
                <c:pt idx="2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4749.2767790968155</c:v>
                </c:pt>
                <c:pt idx="2">
                  <c:v>16547.038499606464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42743.491011871345</c:v>
                </c:pt>
                <c:pt idx="2">
                  <c:v>148923.34649645825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4749.2767790968155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42743.491011871345</c:v>
                </c:pt>
                <c:pt idx="2">
                  <c:v>148923.34649645828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221734.27469450119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210893.10462341903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70594.781553755733</c:v>
                </c:pt>
                <c:pt idx="5">
                  <c:v>67285.125780707793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2189034.0302520012</c:v>
                </c:pt>
                <c:pt idx="2">
                  <c:v>2591309.4281482003</c:v>
                </c:pt>
                <c:pt idx="15">
                  <c:v>823764.99285714305</c:v>
                </c:pt>
                <c:pt idx="16">
                  <c:v>276235.24667465733</c:v>
                </c:pt>
                <c:pt idx="17">
                  <c:v>108999.52356496397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13394379.31674801</c:v>
                </c:pt>
                <c:pt idx="5">
                  <c:v>12766418.101253457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846156.89556793321</c:v>
                </c:pt>
                <c:pt idx="5">
                  <c:v>806486.99373265042</c:v>
                </c:pt>
                <c:pt idx="9">
                  <c:v>1895494.5192748301</c:v>
                </c:pt>
                <c:pt idx="10">
                  <c:v>3440673.5939957332</c:v>
                </c:pt>
                <c:pt idx="11">
                  <c:v>3943177.206576285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5284803.7857603254</c:v>
                </c:pt>
                <c:pt idx="5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6434910.4352402603</c:v>
                </c:pt>
                <c:pt idx="5">
                  <c:v>6133226.1180386841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1658977.3665132597</c:v>
                </c:pt>
                <c:pt idx="5">
                  <c:v>1581200.4558466333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6191750.632110659</c:v>
                </c:pt>
                <c:pt idx="5">
                  <c:v>5901466.2403495796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697432.39568518498</c:v>
                </c:pt>
                <c:pt idx="20">
                  <c:v>672005.07849363028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920673.60943023092</c:v>
                </c:pt>
                <c:pt idx="5">
                  <c:v>877510.18205673085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43141.255393961845</c:v>
                </c:pt>
                <c:pt idx="5">
                  <c:v>41118.687977099209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12485034.123782061</c:v>
                </c:pt>
                <c:pt idx="2">
                  <c:v>13384026.259465635</c:v>
                </c:pt>
                <c:pt idx="15">
                  <c:v>14742130.666666664</c:v>
                </c:pt>
                <c:pt idx="16">
                  <c:v>4161678.0412606872</c:v>
                </c:pt>
                <c:pt idx="17">
                  <c:v>1487114.0288295147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209871.78410050535</c:v>
                </c:pt>
                <c:pt idx="11">
                  <c:v>183432.40969824954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2864790.7596825948</c:v>
                </c:pt>
                <c:pt idx="11">
                  <c:v>2925496.1196818841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234335.4554353836</c:v>
                </c:pt>
                <c:pt idx="5">
                  <c:v>223349.23696651615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223178.36661925918</c:v>
                </c:pt>
                <c:pt idx="11">
                  <c:v>215041.6251179617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23357523.299669795</c:v>
                </c:pt>
                <c:pt idx="17">
                  <c:v>26291745.297047496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925665.22791706468</c:v>
                </c:pt>
                <c:pt idx="17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788679.64758670493</c:v>
                </c:pt>
                <c:pt idx="14">
                  <c:v>840705.04818703001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214730.89604157759</c:v>
                </c:pt>
                <c:pt idx="2">
                  <c:v>242414.90437786453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925665.22791706468</c:v>
                </c:pt>
                <c:pt idx="2">
                  <c:v>764553.83032718813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438365.53046636889</c:v>
                </c:pt>
                <c:pt idx="2">
                  <c:v>460568.82999267662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5284803.7857603254</c:v>
                </c:pt>
                <c:pt idx="2">
                  <c:v>5037039.2771946527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6-4810-9F97-DD8B1E41E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221734.27469450119</c:v>
                </c:pt>
                <c:pt idx="2">
                  <c:v>210893.10462341903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5592870.5868648645</c:v>
                </c:pt>
                <c:pt idx="2">
                  <c:v>7026345.0921613742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453442.76340934308</c:v>
                </c:pt>
                <c:pt idx="2">
                  <c:v>178923.74622928078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1536609.9114825001</c:v>
                </c:pt>
                <c:pt idx="2">
                  <c:v>1433074.1712037951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4574065.475491859</c:v>
                </c:pt>
                <c:pt idx="2">
                  <c:v>2982756.1787720933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718058.01774869044</c:v>
                </c:pt>
                <c:pt idx="2">
                  <c:v>700822.02997791977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2074886.4977874923</c:v>
                </c:pt>
                <c:pt idx="2">
                  <c:v>1912897.876041021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2389282.9756574854</c:v>
                </c:pt>
                <c:pt idx="2">
                  <c:v>2313891.3389375592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77227.032746996076</c:v>
                </c:pt>
                <c:pt idx="2">
                  <c:v>122753.48159481354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2001163.0190917293</c:v>
                </c:pt>
                <c:pt idx="2">
                  <c:v>1964071.9525106091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1794004.4501021868</c:v>
                </c:pt>
                <c:pt idx="2">
                  <c:v>1830597.0172306281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208732.58409629596</c:v>
                </c:pt>
                <c:pt idx="2">
                  <c:v>193960.34098460112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99849.781295313049</c:v>
                </c:pt>
                <c:pt idx="2">
                  <c:v>89083.545536354475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1294298.8490218334</c:v>
                </c:pt>
                <c:pt idx="2">
                  <c:v>1143799.9939275736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933739.34333929513</c:v>
                </c:pt>
                <c:pt idx="2">
                  <c:v>886511.28127233672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2055003.2426024945</c:v>
                </c:pt>
                <c:pt idx="2">
                  <c:v>1955120.5101390816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114380.74240720889</c:v>
                </c:pt>
                <c:pt idx="2">
                  <c:v>112653.30228029896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14.678649289287103</c:v>
                </c:pt>
                <c:pt idx="2">
                  <c:v>10.068588212156007</c:v>
                </c:pt>
                <c:pt idx="3">
                  <c:v>7.483154704207001</c:v>
                </c:pt>
                <c:pt idx="4">
                  <c:v>4.0123558190228108</c:v>
                </c:pt>
                <c:pt idx="5">
                  <c:v>5.0872686366759083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20.46888379301523</c:v>
                </c:pt>
                <c:pt idx="2">
                  <c:v>17.507230362576006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43.745095635723615</c:v>
                </c:pt>
                <c:pt idx="2">
                  <c:v>48.680669859134994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0.9767157123837249</c:v>
                </c:pt>
                <c:pt idx="2">
                  <c:v>0.38540174937787086</c:v>
                </c:pt>
                <c:pt idx="3">
                  <c:v>5.0922829580050024</c:v>
                </c:pt>
                <c:pt idx="4">
                  <c:v>15.376338739383602</c:v>
                </c:pt>
                <c:pt idx="5">
                  <c:v>17.565716583876835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7.8112428316740701</c:v>
                </c:pt>
                <c:pt idx="2">
                  <c:v>7.5264568791286592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45.382683089213458</c:v>
                </c:pt>
                <c:pt idx="2">
                  <c:v>45.77603591800802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1137423.5648385542</c:v>
                </c:pt>
                <c:pt idx="2">
                  <c:v>1150052.3061987155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2239888.1288856766</c:v>
                </c:pt>
                <c:pt idx="2">
                  <c:v>1790512.7192554944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3665250.2773501943</c:v>
                </c:pt>
                <c:pt idx="2">
                  <c:v>4069006.9406604851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2210080.3180264877</c:v>
                </c:pt>
                <c:pt idx="2">
                  <c:v>2433815.2686092323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1503974.5536280596</c:v>
                </c:pt>
                <c:pt idx="2">
                  <c:v>1523026.0725507722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</row>
        <row r="5">
          <cell r="A5" t="str">
            <v>Biogas</v>
          </cell>
          <cell r="B5" t="str">
            <v>-</v>
          </cell>
        </row>
        <row r="6">
          <cell r="A6" t="str">
            <v>Biogasgylle</v>
          </cell>
          <cell r="B6" t="str">
            <v>-</v>
          </cell>
        </row>
        <row r="7">
          <cell r="A7" t="str">
            <v>Brun saft</v>
          </cell>
          <cell r="B7" t="str">
            <v>-</v>
          </cell>
        </row>
        <row r="8">
          <cell r="A8" t="str">
            <v>Dybstrøelse</v>
          </cell>
          <cell r="B8" t="str">
            <v>-</v>
          </cell>
        </row>
        <row r="9">
          <cell r="A9" t="str">
            <v>Fiberfraktion</v>
          </cell>
          <cell r="B9" t="str">
            <v>-</v>
          </cell>
        </row>
        <row r="10">
          <cell r="A10" t="str">
            <v>Fjerkrægylle</v>
          </cell>
          <cell r="B10" t="str">
            <v>-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</row>
        <row r="15">
          <cell r="A15" t="str">
            <v>Græs</v>
          </cell>
        </row>
        <row r="16">
          <cell r="A16" t="str">
            <v>Græsprotein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</row>
        <row r="19">
          <cell r="A19" t="str">
            <v>Have/parkaffald</v>
          </cell>
          <cell r="B19" t="str">
            <v>-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</row>
        <row r="22">
          <cell r="A22" t="str">
            <v>Juletræer</v>
          </cell>
          <cell r="B22" t="str">
            <v>-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366</v>
          </cell>
        </row>
        <row r="25">
          <cell r="A25" t="str">
            <v>Kunstgødning</v>
          </cell>
          <cell r="B25" t="str">
            <v>-</v>
          </cell>
        </row>
        <row r="26">
          <cell r="A26" t="str">
            <v>Kvæggylle</v>
          </cell>
          <cell r="B26" t="str">
            <v>-</v>
          </cell>
        </row>
        <row r="27">
          <cell r="A27" t="str">
            <v>Mælk til foder</v>
          </cell>
          <cell r="B27" t="str">
            <v>-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</row>
        <row r="34">
          <cell r="A34" t="str">
            <v>Pyrolysegas</v>
          </cell>
          <cell r="B34" t="str">
            <v>-</v>
          </cell>
        </row>
        <row r="35">
          <cell r="A35" t="str">
            <v>Pyrolyseolie</v>
          </cell>
          <cell r="B35" t="str">
            <v>-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</row>
        <row r="38">
          <cell r="A38" t="str">
            <v>Rapskage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</row>
        <row r="42">
          <cell r="A42" t="str">
            <v>Slagteriaffald til foder</v>
          </cell>
          <cell r="B42" t="str">
            <v>-</v>
          </cell>
        </row>
        <row r="43">
          <cell r="A43" t="str">
            <v>Spildevandsslam</v>
          </cell>
          <cell r="B43" t="str">
            <v>-</v>
          </cell>
        </row>
        <row r="44">
          <cell r="A44" t="str">
            <v>Svinegylle</v>
          </cell>
          <cell r="B44" t="str">
            <v>-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</row>
        <row r="48">
          <cell r="A48" t="str">
            <v>Træ til energi</v>
          </cell>
          <cell r="B48" t="str">
            <v>-</v>
          </cell>
        </row>
        <row r="49">
          <cell r="A49" t="str">
            <v>Træmaterialer</v>
          </cell>
          <cell r="B49" t="str">
            <v>-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337962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610883.0728686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569447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685186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5769668.3371752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791667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9409787.8886368591"/>
    </cacheField>
    <cacheField name="Halmudbytte" numFmtId="0">
      <sharedItems containsSemiMixedTypes="0" containsString="0" containsNumber="1" minValue="0" maxValue="2806351.2692099959"/>
    </cacheField>
    <cacheField name="Potentielt til bioenergi" numFmtId="1">
      <sharedItems containsSemiMixedTypes="0" containsString="0" containsNumber="1" minValue="0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032409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263886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495371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887651.1003491962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59.68019861111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3663167.57084477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690156.331739446"/>
    </cacheField>
    <cacheField name="Gødning" numFmtId="0">
      <sharedItems containsSemiMixedTypes="0" containsString="0" containsNumber="1" minValue="0" maxValue="21610883.072868608"/>
    </cacheField>
    <cacheField name="Energi" numFmtId="0">
      <sharedItems containsSemiMixedTypes="0" containsString="0" containsNumber="1" minValue="0" maxValue="563663167.57084477"/>
    </cacheField>
    <cacheField name="Materialer og processer" numFmtId="0">
      <sharedItems containsSemiMixedTypes="0" containsString="0" containsNumber="1" minValue="0" maxValue="659548.66396073136"/>
    </cacheField>
    <cacheField name="Produktion minus forbrug [ton]" numFmtId="3">
      <sharedItems containsSemiMixedTypes="0" containsString="0" containsNumber="1" minValue="-4828427.5390456235" maxValue="5775406.7103858478"/>
    </cacheField>
    <cacheField name="Potentiale til energi [ton]" numFmtId="3">
      <sharedItems containsSemiMixedTypes="0" containsString="0" containsNumber="1" minValue="0" maxValue="3833646.2930569407"/>
    </cacheField>
    <cacheField name="Forbrug energi [ton/m3]" numFmtId="3">
      <sharedItems containsSemiMixedTypes="0" containsString="0" containsNumber="1" minValue="0" maxValue="563663167.57084477"/>
    </cacheField>
    <cacheField name="Potentiale til energi [PJ]" numFmtId="0">
      <sharedItems containsSemiMixedTypes="0" containsString="0" containsNumber="1" minValue="0" maxValue="7.1841752385393089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073420.9620559434"/>
    </cacheField>
    <cacheField name="Forbrug/potentiale [Ton TS]" numFmtId="0">
      <sharedItems containsSemiMixedTypes="0" containsString="0" containsNumber="1" minValue="0" maxValue="2228396.0790854068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2228396.07908540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904939.805455904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29250.7965815454"/>
  </r>
  <r>
    <x v="1"/>
    <s v="Vestdanmark"/>
    <x v="21"/>
    <x v="1"/>
    <n v="0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1690156.331739446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3709649.338005411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283371.9816891025"/>
  </r>
  <r>
    <x v="1"/>
    <s v="Vestdanmark"/>
    <x v="21"/>
    <x v="2"/>
    <n v="0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80094.3183261557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59783.2336704561"/>
  </r>
  <r>
    <x v="1"/>
    <s v="Østdanmark"/>
    <x v="21"/>
    <x v="1"/>
    <n v="0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693869.9277261887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3150253.3426541099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07937.44645909779"/>
  </r>
  <r>
    <x v="1"/>
    <s v="Østdanmark"/>
    <x v="21"/>
    <x v="2"/>
    <n v="0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734288.3153172266"/>
  </r>
  <r>
    <x v="2"/>
    <s v="Vestdanmark"/>
    <x v="22"/>
    <x v="1"/>
    <n v="754028.76978801878"/>
  </r>
  <r>
    <x v="2"/>
    <s v="Vestdanmark"/>
    <x v="2"/>
    <x v="1"/>
    <n v="0"/>
  </r>
  <r>
    <x v="2"/>
    <s v="Vestdanmark"/>
    <x v="5"/>
    <x v="1"/>
    <n v="62908.541627737373"/>
  </r>
  <r>
    <x v="2"/>
    <s v="Vestdanmark"/>
    <x v="25"/>
    <x v="1"/>
    <n v="820432.23039507493"/>
  </r>
  <r>
    <x v="2"/>
    <s v="Vestdanmark"/>
    <x v="24"/>
    <x v="1"/>
    <n v="5517603.3385994658"/>
  </r>
  <r>
    <x v="2"/>
    <s v="Vestdanmark"/>
    <x v="28"/>
    <x v="1"/>
    <n v="208821.4090142948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1936022.044118334"/>
  </r>
  <r>
    <x v="2"/>
    <s v="Vestdanmark"/>
    <x v="29"/>
    <x v="1"/>
    <n v="1478350.728251828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8444.108772506181"/>
  </r>
  <r>
    <x v="2"/>
    <s v="Vestdanmark"/>
    <x v="33"/>
    <x v="1"/>
    <n v="4709403.3246320067"/>
  </r>
  <r>
    <x v="2"/>
    <s v="Vestdanmark"/>
    <x v="0"/>
    <x v="2"/>
    <n v="5470784.8849928668"/>
  </r>
  <r>
    <x v="2"/>
    <s v="Vestdanmark"/>
    <x v="22"/>
    <x v="2"/>
    <n v="719379.45387000521"/>
  </r>
  <r>
    <x v="2"/>
    <s v="Vestdanmark"/>
    <x v="2"/>
    <x v="2"/>
    <n v="0"/>
  </r>
  <r>
    <x v="2"/>
    <s v="Vestdanmark"/>
    <x v="5"/>
    <x v="2"/>
    <n v="60017.752814183521"/>
  </r>
  <r>
    <x v="2"/>
    <s v="Vestdanmark"/>
    <x v="25"/>
    <x v="2"/>
    <n v="782731.52628497675"/>
  </r>
  <r>
    <x v="2"/>
    <s v="Vestdanmark"/>
    <x v="24"/>
    <x v="2"/>
    <n v="5264057.0697440123"/>
  </r>
  <r>
    <x v="2"/>
    <s v="Vestdanmark"/>
    <x v="28"/>
    <x v="2"/>
    <n v="199225.59614708141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1387535.016591122"/>
  </r>
  <r>
    <x v="2"/>
    <s v="Vestdanmark"/>
    <x v="29"/>
    <x v="2"/>
    <n v="1410417.1911333126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6677.515608667709"/>
  </r>
  <r>
    <x v="2"/>
    <s v="Vestdanmark"/>
    <x v="33"/>
    <x v="2"/>
    <n v="4492995.6620617937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00622.1199230341"/>
  </r>
  <r>
    <x v="2"/>
    <s v="Østdanmark"/>
    <x v="22"/>
    <x v="1"/>
    <n v="92128.125779914451"/>
  </r>
  <r>
    <x v="2"/>
    <s v="Østdanmark"/>
    <x v="2"/>
    <x v="1"/>
    <n v="0"/>
  </r>
  <r>
    <x v="2"/>
    <s v="Østdanmark"/>
    <x v="5"/>
    <x v="1"/>
    <n v="7686.2399260183547"/>
  </r>
  <r>
    <x v="2"/>
    <s v="Østdanmark"/>
    <x v="25"/>
    <x v="1"/>
    <n v="100241.37903515603"/>
  </r>
  <r>
    <x v="2"/>
    <s v="Østdanmark"/>
    <x v="24"/>
    <x v="1"/>
    <n v="674147.29351119313"/>
  </r>
  <r>
    <x v="2"/>
    <s v="Østdanmark"/>
    <x v="28"/>
    <x v="1"/>
    <n v="25514.046421088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458357.2726296766"/>
  </r>
  <r>
    <x v="2"/>
    <s v="Østdanmark"/>
    <x v="29"/>
    <x v="1"/>
    <n v="180626.6382614313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697.1466214556613"/>
  </r>
  <r>
    <x v="2"/>
    <s v="Østdanmark"/>
    <x v="33"/>
    <x v="1"/>
    <n v="575400.46112831845"/>
  </r>
  <r>
    <x v="2"/>
    <s v="Østdanmark"/>
    <x v="0"/>
    <x v="2"/>
    <n v="662441.233045817"/>
  </r>
  <r>
    <x v="2"/>
    <s v="Østdanmark"/>
    <x v="22"/>
    <x v="2"/>
    <n v="87107.539862645164"/>
  </r>
  <r>
    <x v="2"/>
    <s v="Østdanmark"/>
    <x v="2"/>
    <x v="2"/>
    <n v="0"/>
  </r>
  <r>
    <x v="2"/>
    <s v="Østdanmark"/>
    <x v="5"/>
    <x v="2"/>
    <n v="7267.3729665242781"/>
  </r>
  <r>
    <x v="2"/>
    <s v="Østdanmark"/>
    <x v="25"/>
    <x v="2"/>
    <n v="94778.655771754129"/>
  </r>
  <r>
    <x v="2"/>
    <s v="Østdanmark"/>
    <x v="24"/>
    <x v="2"/>
    <n v="637409.17060556682"/>
  </r>
  <r>
    <x v="2"/>
    <s v="Østdanmark"/>
    <x v="28"/>
    <x v="2"/>
    <n v="24123.640819434757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378883.0846623355"/>
  </r>
  <r>
    <x v="2"/>
    <s v="Østdanmark"/>
    <x v="29"/>
    <x v="2"/>
    <n v="170783.2647133205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441.1723684315039"/>
  </r>
  <r>
    <x v="2"/>
    <s v="Østdanmark"/>
    <x v="33"/>
    <x v="2"/>
    <n v="544043.61513285921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2293765.6188591849"/>
  </r>
  <r>
    <x v="3"/>
    <s v="Vestdanmark"/>
    <x v="34"/>
    <x v="1"/>
    <n v="159083.12542284423"/>
  </r>
  <r>
    <x v="3"/>
    <s v="Vestdanmark"/>
    <x v="35"/>
    <x v="1"/>
    <n v="170203.15251490066"/>
  </r>
  <r>
    <x v="3"/>
    <s v="Vestdanmark"/>
    <x v="36"/>
    <x v="1"/>
    <n v="2217144.8993992088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0444.426193926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146907.9751365485"/>
  </r>
  <r>
    <x v="3"/>
    <s v="Østdanmark"/>
    <x v="34"/>
    <x v="1"/>
    <n v="64095.241196414951"/>
  </r>
  <r>
    <x v="3"/>
    <s v="Østdanmark"/>
    <x v="35"/>
    <x v="1"/>
    <n v="39668.631585604686"/>
  </r>
  <r>
    <x v="3"/>
    <s v="Østdanmark"/>
    <x v="36"/>
    <x v="1"/>
    <n v="647645.86028338596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35.2213927783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2621642.4459828315"/>
  </r>
  <r>
    <x v="3"/>
    <s v="Vestdanmark"/>
    <x v="34"/>
    <x v="2"/>
    <n v="151027.97877060805"/>
  </r>
  <r>
    <x v="3"/>
    <s v="Vestdanmark"/>
    <x v="35"/>
    <x v="2"/>
    <n v="146472.78733520172"/>
  </r>
  <r>
    <x v="3"/>
    <s v="Vestdanmark"/>
    <x v="36"/>
    <x v="2"/>
    <n v="2287577.6202536402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59548.6639607313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1321534.7605934532"/>
  </r>
  <r>
    <x v="3"/>
    <s v="Østdanmark"/>
    <x v="34"/>
    <x v="2"/>
    <n v="64013.646347353635"/>
  </r>
  <r>
    <x v="3"/>
    <s v="Østdanmark"/>
    <x v="35"/>
    <x v="2"/>
    <n v="36959.622363047813"/>
  </r>
  <r>
    <x v="3"/>
    <s v="Østdanmark"/>
    <x v="36"/>
    <x v="2"/>
    <n v="637918.49942824384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1156.3842262987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3634979.9351519686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43453.07671148074"/>
  </r>
  <r>
    <x v="5"/>
    <s v="Vestdanmark"/>
    <x v="38"/>
    <x v="1"/>
    <n v="19339631.292659696"/>
  </r>
  <r>
    <x v="5"/>
    <s v="Vestdanmark"/>
    <x v="39"/>
    <x v="1"/>
    <n v="590491.77533861843"/>
  </r>
  <r>
    <x v="5"/>
    <s v="Vestdanmark"/>
    <x v="14"/>
    <x v="2"/>
    <n v="1298906.2590821604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96046.599229779691"/>
  </r>
  <r>
    <x v="5"/>
    <s v="Vestdanmark"/>
    <x v="38"/>
    <x v="2"/>
    <n v="21610883.072868608"/>
  </r>
  <r>
    <x v="5"/>
    <s v="Vestdanmark"/>
    <x v="39"/>
    <x v="2"/>
    <n v="475615.83979339601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526698.10610871855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2782.169963176602"/>
  </r>
  <r>
    <x v="5"/>
    <s v="Østdanmark"/>
    <x v="38"/>
    <x v="1"/>
    <n v="4017892.007010099"/>
  </r>
  <r>
    <x v="5"/>
    <s v="Østdanmark"/>
    <x v="39"/>
    <x v="1"/>
    <n v="335173.45257844625"/>
  </r>
  <r>
    <x v="5"/>
    <s v="Østdanmark"/>
    <x v="14"/>
    <x v="2"/>
    <n v="188207.76974735426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12952.924335184269"/>
  </r>
  <r>
    <x v="5"/>
    <s v="Østdanmark"/>
    <x v="38"/>
    <x v="2"/>
    <n v="4680862.224178886"/>
  </r>
  <r>
    <x v="5"/>
    <s v="Østdanmark"/>
    <x v="39"/>
    <x v="2"/>
    <n v="288937.99053379206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497134.76694638823"/>
  </r>
  <r>
    <x v="7"/>
    <s v="Vestdanmark"/>
    <x v="40"/>
    <x v="2"/>
    <n v="471962.43365815014"/>
  </r>
  <r>
    <x v="7"/>
    <s v="Østdanmark"/>
    <x v="40"/>
    <x v="0"/>
    <n v="192563.22613808865"/>
  </r>
  <r>
    <x v="7"/>
    <s v="Østdanmark"/>
    <x v="40"/>
    <x v="1"/>
    <n v="200297.62873879672"/>
  </r>
  <r>
    <x v="7"/>
    <s v="Østdanmark"/>
    <x v="40"/>
    <x v="2"/>
    <n v="200042.64483548011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7607.2776597517"/>
  </r>
  <r>
    <x v="0"/>
    <x v="2"/>
    <x v="1"/>
    <s v="JB1-10"/>
    <n v="491333.38307711121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2351.182880658438"/>
  </r>
  <r>
    <x v="0"/>
    <x v="2"/>
    <x v="1"/>
    <s v="OC6"/>
    <n v="0"/>
  </r>
  <r>
    <x v="0"/>
    <x v="3"/>
    <x v="1"/>
    <s v="OC6"/>
    <n v="58288.81711934156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36839.1020767612"/>
  </r>
  <r>
    <x v="0"/>
    <x v="2"/>
    <x v="2"/>
    <s v="JB1-10"/>
    <n v="652101.55866010161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68352.776296296302"/>
  </r>
  <r>
    <x v="0"/>
    <x v="2"/>
    <x v="2"/>
    <s v="OC6"/>
    <n v="0"/>
  </r>
  <r>
    <x v="0"/>
    <x v="3"/>
    <x v="2"/>
    <s v="OC6"/>
    <n v="72287.22370370369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513.90752543334"/>
  </r>
  <r>
    <x v="1"/>
    <x v="2"/>
    <x v="1"/>
    <s v="JB1-10"/>
    <n v="135891.43173770356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507.261563786009"/>
  </r>
  <r>
    <x v="1"/>
    <x v="2"/>
    <x v="1"/>
    <s v="OC6"/>
    <n v="0"/>
  </r>
  <r>
    <x v="1"/>
    <x v="3"/>
    <x v="1"/>
    <s v="OC6"/>
    <n v="8852.7384362139928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13096.89792323852"/>
  </r>
  <r>
    <x v="1"/>
    <x v="2"/>
    <x v="2"/>
    <s v="JB1-10"/>
    <n v="160308.44133989836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0381.223703703705"/>
  </r>
  <r>
    <x v="1"/>
    <x v="2"/>
    <x v="2"/>
    <s v="OC6"/>
    <n v="0"/>
  </r>
  <r>
    <x v="1"/>
    <x v="3"/>
    <x v="2"/>
    <s v="OC6"/>
    <n v="10978.77629629629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012260.3004318569"/>
  </r>
  <r>
    <x v="1"/>
    <x v="0"/>
    <x v="1"/>
    <n v="264281.48271181755"/>
  </r>
  <r>
    <x v="2"/>
    <x v="0"/>
    <x v="1"/>
    <n v="497134.76694638823"/>
  </r>
  <r>
    <x v="3"/>
    <x v="0"/>
    <x v="1"/>
    <n v="15769668.337175274"/>
  </r>
  <r>
    <x v="4"/>
    <x v="0"/>
    <x v="1"/>
    <n v="189947.9283403279"/>
  </r>
  <r>
    <x v="5"/>
    <x v="0"/>
    <x v="1"/>
    <n v="2184559.2882253225"/>
  </r>
  <r>
    <x v="6"/>
    <x v="0"/>
    <x v="1"/>
    <n v="387359.23061650008"/>
  </r>
  <r>
    <x v="7"/>
    <x v="0"/>
    <x v="1"/>
    <n v="7810797.3149183672"/>
  </r>
  <r>
    <x v="8"/>
    <x v="0"/>
    <x v="1"/>
    <n v="26490.425666789368"/>
  </r>
  <r>
    <x v="9"/>
    <x v="0"/>
    <x v="1"/>
    <n v="1644241.434656535"/>
  </r>
  <r>
    <x v="10"/>
    <x v="0"/>
    <x v="1"/>
    <n v="896684.85799615958"/>
  </r>
  <r>
    <x v="11"/>
    <x v="0"/>
    <x v="1"/>
    <n v="782472.88933192089"/>
  </r>
  <r>
    <x v="12"/>
    <x v="0"/>
    <x v="1"/>
    <n v="170203.15251490066"/>
  </r>
  <r>
    <x v="0"/>
    <x v="0"/>
    <x v="2"/>
    <n v="6657445.6000957079"/>
  </r>
  <r>
    <x v="1"/>
    <x v="0"/>
    <x v="2"/>
    <n v="250215.04217969507"/>
  </r>
  <r>
    <x v="2"/>
    <x v="0"/>
    <x v="2"/>
    <n v="471962.43365815014"/>
  </r>
  <r>
    <x v="3"/>
    <x v="0"/>
    <x v="2"/>
    <n v="13682245.34995167"/>
  </r>
  <r>
    <x v="4"/>
    <x v="0"/>
    <x v="2"/>
    <n v="182765.86123576926"/>
  </r>
  <r>
    <x v="5"/>
    <x v="0"/>
    <x v="2"/>
    <n v="2034058.7589381256"/>
  </r>
  <r>
    <x v="6"/>
    <x v="0"/>
    <x v="2"/>
    <n v="370630.07456563454"/>
  </r>
  <r>
    <x v="7"/>
    <x v="0"/>
    <x v="2"/>
    <n v="7480186.4136029035"/>
  </r>
  <r>
    <x v="8"/>
    <x v="0"/>
    <x v="2"/>
    <n v="24926.840286441191"/>
  </r>
  <r>
    <x v="9"/>
    <x v="0"/>
    <x v="2"/>
    <n v="1547190.8284741363"/>
  </r>
  <r>
    <x v="10"/>
    <x v="0"/>
    <x v="2"/>
    <n v="813451.18685438076"/>
  </r>
  <r>
    <x v="11"/>
    <x v="0"/>
    <x v="2"/>
    <n v="736287.78133601486"/>
  </r>
  <r>
    <x v="12"/>
    <x v="0"/>
    <x v="2"/>
    <n v="146472.78733520172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64100.9929543477"/>
  </r>
  <r>
    <x v="1"/>
    <x v="1"/>
    <x v="1"/>
    <n v="28047.573536439377"/>
  </r>
  <r>
    <x v="2"/>
    <x v="1"/>
    <x v="1"/>
    <n v="200297.62873879672"/>
  </r>
  <r>
    <x v="3"/>
    <x v="1"/>
    <x v="1"/>
    <n v="2198776.4550645952"/>
  </r>
  <r>
    <x v="4"/>
    <x v="1"/>
    <x v="1"/>
    <n v="99364.334403430083"/>
  </r>
  <r>
    <x v="5"/>
    <x v="1"/>
    <x v="1"/>
    <n v="120819.30729817749"/>
  </r>
  <r>
    <x v="6"/>
    <x v="1"/>
    <x v="1"/>
    <n v="2327318.8289159178"/>
  </r>
  <r>
    <x v="7"/>
    <x v="1"/>
    <x v="1"/>
    <n v="382116.33628402097"/>
  </r>
  <r>
    <x v="8"/>
    <x v="1"/>
    <x v="1"/>
    <n v="16391.280898066685"/>
  </r>
  <r>
    <x v="9"/>
    <x v="1"/>
    <x v="1"/>
    <n v="410761.8079459595"/>
  </r>
  <r>
    <x v="10"/>
    <x v="1"/>
    <x v="1"/>
    <n v="639925.05348634056"/>
  </r>
  <r>
    <x v="11"/>
    <x v="1"/>
    <x v="1"/>
    <n v="151266.45400737421"/>
  </r>
  <r>
    <x v="12"/>
    <x v="1"/>
    <x v="1"/>
    <n v="39668.631585604686"/>
  </r>
  <r>
    <x v="0"/>
    <x v="1"/>
    <x v="2"/>
    <n v="2365391.4259483349"/>
  </r>
  <r>
    <x v="1"/>
    <x v="1"/>
    <x v="2"/>
    <n v="27963.188224431749"/>
  </r>
  <r>
    <x v="2"/>
    <x v="1"/>
    <x v="2"/>
    <n v="200042.64483548011"/>
  </r>
  <r>
    <x v="3"/>
    <x v="1"/>
    <x v="2"/>
    <n v="2066928.9300738815"/>
  </r>
  <r>
    <x v="4"/>
    <x v="1"/>
    <x v="2"/>
    <n v="100361.40981981652"/>
  </r>
  <r>
    <x v="5"/>
    <x v="1"/>
    <x v="2"/>
    <n v="119162.42345688539"/>
  </r>
  <r>
    <x v="6"/>
    <x v="1"/>
    <x v="2"/>
    <n v="2337477.1247217245"/>
  </r>
  <r>
    <x v="7"/>
    <x v="1"/>
    <x v="2"/>
    <n v="385351.77925728471"/>
  </r>
  <r>
    <x v="8"/>
    <x v="1"/>
    <x v="2"/>
    <n v="16278.266064377463"/>
  </r>
  <r>
    <x v="9"/>
    <x v="1"/>
    <x v="2"/>
    <n v="407929.68166494544"/>
  </r>
  <r>
    <x v="10"/>
    <x v="1"/>
    <x v="2"/>
    <n v="619622.98434941436"/>
  </r>
  <r>
    <x v="11"/>
    <x v="1"/>
    <x v="2"/>
    <n v="150223.49993632184"/>
  </r>
  <r>
    <x v="12"/>
    <x v="1"/>
    <x v="2"/>
    <n v="36959.6223630478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09789.15928333369"/>
    <n v="5676622.0065761693"/>
    <n v="2672553.6406960608"/>
    <n v="2672553.6406960608"/>
  </r>
  <r>
    <x v="0"/>
    <x v="1"/>
    <x v="1"/>
    <s v="Konventionel"/>
    <x v="0"/>
    <s v="Halm"/>
    <n v="55949.560086021185"/>
    <n v="215965.30193204177"/>
    <n v="92481.042050347532"/>
    <n v="92481.042050347532"/>
  </r>
  <r>
    <x v="0"/>
    <x v="2"/>
    <x v="1"/>
    <s v="Konventionel"/>
    <x v="0"/>
    <s v="Halm"/>
    <n v="94087.082412375472"/>
    <n v="413983.16261445213"/>
    <n v="318932.62847817392"/>
    <n v="318932.62847817392"/>
  </r>
  <r>
    <x v="0"/>
    <x v="3"/>
    <x v="1"/>
    <s v="Konventionel"/>
    <x v="0"/>
    <s v="Græs"/>
    <n v="179394.47433816589"/>
    <n v="8901553.8166597914"/>
    <n v="0"/>
    <n v="8901553.8166597914"/>
  </r>
  <r>
    <x v="0"/>
    <x v="4"/>
    <x v="1"/>
    <s v="Konventionel"/>
    <x v="0"/>
    <s v="Grøntsager"/>
    <n v="6942.1581713830101"/>
    <n v="144049.78205619747"/>
    <n v="0"/>
    <n v="144049.78205619747"/>
  </r>
  <r>
    <x v="0"/>
    <x v="5"/>
    <x v="1"/>
    <s v="Konventionel"/>
    <x v="0"/>
    <s v="Kartofler"/>
    <n v="41355.317643651651"/>
    <n v="1756397.5382306445"/>
    <n v="0"/>
    <n v="1756397.5382306445"/>
  </r>
  <r>
    <x v="0"/>
    <x v="6"/>
    <x v="1"/>
    <s v="Konventionel"/>
    <x v="0"/>
    <s v="Roer"/>
    <n v="4037.1409759488074"/>
    <n v="328032.76825470605"/>
    <n v="0"/>
    <n v="328032.76825470605"/>
  </r>
  <r>
    <x v="0"/>
    <x v="7"/>
    <x v="1"/>
    <s v="Konventionel"/>
    <x v="0"/>
    <s v="Majs"/>
    <n v="138250.29972976272"/>
    <n v="6153520.840971739"/>
    <n v="0"/>
    <n v="6153520.840971739"/>
  </r>
  <r>
    <x v="0"/>
    <x v="8"/>
    <x v="1"/>
    <s v="Konventionel"/>
    <x v="0"/>
    <s v="Frugt"/>
    <n v="2540.3874452133937"/>
    <n v="21567.889409861717"/>
    <n v="0"/>
    <n v="21567.889409861717"/>
  </r>
  <r>
    <x v="0"/>
    <x v="9"/>
    <x v="1"/>
    <s v="Konventionel"/>
    <x v="0"/>
    <s v="Øvrige"/>
    <n v="44929.041857570082"/>
    <n v="1338703.1930650962"/>
    <n v="0"/>
    <n v="1338703.1930650962"/>
  </r>
  <r>
    <x v="0"/>
    <x v="10"/>
    <x v="1"/>
    <s v="Konventionel"/>
    <x v="0"/>
    <s v="Halm"/>
    <n v="47261.400630257056"/>
    <n v="675311.57290438947"/>
    <n v="161823.03575800019"/>
    <n v="161823.03575800019"/>
  </r>
  <r>
    <x v="0"/>
    <x v="11"/>
    <x v="1"/>
    <s v="Konventionel"/>
    <x v="0"/>
    <s v="Juletræer"/>
    <n v="12741.4251138164"/>
    <n v="637071.25569082005"/>
    <n v="0"/>
    <n v="637071.25569082005"/>
  </r>
  <r>
    <x v="0"/>
    <x v="12"/>
    <x v="1"/>
    <s v="Konventionel"/>
    <x v="0"/>
    <s v="Pil &amp; poppel"/>
    <n v="4686.7049638673298"/>
    <n v="114309.87716749586"/>
    <n v="0"/>
    <n v="114309.87716749586"/>
  </r>
  <r>
    <x v="0"/>
    <x v="13"/>
    <x v="1"/>
    <s v="Konventionel"/>
    <x v="0"/>
    <s v="Græs"/>
    <n v="112966.14252431852"/>
    <n v="1557803.1054103526"/>
    <n v="0"/>
    <n v="1557803.1054103526"/>
  </r>
  <r>
    <x v="0"/>
    <x v="0"/>
    <x v="2"/>
    <s v="Konventionel"/>
    <x v="0"/>
    <s v="Halm"/>
    <n v="703268.18873094791"/>
    <n v="4929910.0030039446"/>
    <n v="2806351.2692099959"/>
    <n v="2806351.2692099959"/>
  </r>
  <r>
    <x v="0"/>
    <x v="1"/>
    <x v="2"/>
    <s v="Konventionel"/>
    <x v="0"/>
    <s v="Halm"/>
    <n v="48589.864819642906"/>
    <n v="187556.87820382163"/>
    <n v="97110.97498056601"/>
    <n v="97110.97498056601"/>
  </r>
  <r>
    <x v="0"/>
    <x v="2"/>
    <x v="2"/>
    <s v="Konventionel"/>
    <x v="0"/>
    <s v="Halm"/>
    <n v="81710.716021056694"/>
    <n v="359527.15049264947"/>
    <n v="334899.54068390297"/>
    <n v="334899.54068390297"/>
  </r>
  <r>
    <x v="0"/>
    <x v="3"/>
    <x v="2"/>
    <s v="Konventionel"/>
    <x v="0"/>
    <s v="Græs"/>
    <n v="155796.63618588899"/>
    <n v="7730629.0875438116"/>
    <n v="0"/>
    <n v="7730629.0875438116"/>
  </r>
  <r>
    <x v="0"/>
    <x v="4"/>
    <x v="2"/>
    <s v="Konventionel"/>
    <x v="0"/>
    <s v="Grøntsager"/>
    <n v="6028.9755019603408"/>
    <n v="125101.24166567708"/>
    <n v="0"/>
    <n v="125101.24166567708"/>
  </r>
  <r>
    <x v="0"/>
    <x v="5"/>
    <x v="2"/>
    <s v="Konventionel"/>
    <x v="0"/>
    <s v="Kartofler"/>
    <n v="35915.372538925141"/>
    <n v="1525358.1765605931"/>
    <n v="0"/>
    <n v="1525358.1765605931"/>
  </r>
  <r>
    <x v="0"/>
    <x v="6"/>
    <x v="2"/>
    <s v="Konventionel"/>
    <x v="0"/>
    <s v="Roer"/>
    <n v="3506.0889482883485"/>
    <n v="284882.80946987716"/>
    <n v="0"/>
    <n v="284882.80946987716"/>
  </r>
  <r>
    <x v="0"/>
    <x v="7"/>
    <x v="2"/>
    <s v="Konventionel"/>
    <x v="0"/>
    <s v="Majs"/>
    <n v="120064.63258721215"/>
    <n v="5344076.7964568138"/>
    <n v="0"/>
    <n v="5344076.7964568138"/>
  </r>
  <r>
    <x v="0"/>
    <x v="8"/>
    <x v="2"/>
    <s v="Konventionel"/>
    <x v="0"/>
    <s v="Frugt"/>
    <n v="2206.2207882002126"/>
    <n v="18730.814491819805"/>
    <n v="0"/>
    <n v="18730.814491819805"/>
  </r>
  <r>
    <x v="0"/>
    <x v="9"/>
    <x v="2"/>
    <s v="Konventionel"/>
    <x v="0"/>
    <s v="Øvrige"/>
    <n v="39019.003312607769"/>
    <n v="1162608.0184481952"/>
    <n v="0"/>
    <n v="1162608.0184481952"/>
  </r>
  <r>
    <x v="0"/>
    <x v="10"/>
    <x v="2"/>
    <s v="Konventionel"/>
    <x v="0"/>
    <s v="Halm"/>
    <n v="41044.559854992149"/>
    <n v="586480.00070268649"/>
    <n v="169924.47779966751"/>
    <n v="169924.47779966751"/>
  </r>
  <r>
    <x v="0"/>
    <x v="11"/>
    <x v="2"/>
    <s v="Konventionel"/>
    <x v="0"/>
    <s v="Juletræer"/>
    <n v="11065.397528382413"/>
    <n v="553269.8764191207"/>
    <n v="0"/>
    <n v="553269.8764191207"/>
  </r>
  <r>
    <x v="0"/>
    <x v="12"/>
    <x v="2"/>
    <s v="Konventionel"/>
    <x v="0"/>
    <s v="Pil &amp; poppel"/>
    <n v="4070.2082428126114"/>
    <n v="99273.37177591736"/>
    <n v="0"/>
    <n v="99273.37177591736"/>
  </r>
  <r>
    <x v="0"/>
    <x v="13"/>
    <x v="2"/>
    <s v="Konventionel"/>
    <x v="0"/>
    <s v="Græs"/>
    <n v="98106.394152410197"/>
    <n v="1352887.1753617367"/>
    <n v="0"/>
    <n v="1352887.175361736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6383.27919450874"/>
    <n v="593584.34739284916"/>
    <n v="279459.51075255353"/>
    <n v="279459.51075255353"/>
  </r>
  <r>
    <x v="0"/>
    <x v="1"/>
    <x v="1"/>
    <s v="Økologisk"/>
    <x v="0"/>
    <s v="Halm"/>
    <n v="8732.0122677605341"/>
    <n v="19212.173391526729"/>
    <n v="8227.0707349991262"/>
    <n v="8227.0707349991262"/>
  </r>
  <r>
    <x v="0"/>
    <x v="2"/>
    <x v="1"/>
    <s v="Økologisk"/>
    <x v="0"/>
    <s v="Halm"/>
    <n v="14684.111127942995"/>
    <n v="35535.548929622055"/>
    <n v="27376.586895380835"/>
    <n v="27376.586895380835"/>
  </r>
  <r>
    <x v="0"/>
    <x v="3"/>
    <x v="1"/>
    <s v="Økologisk"/>
    <x v="0"/>
    <s v="Græs"/>
    <n v="27997.981544106817"/>
    <n v="1083622.6784904927"/>
    <n v="0"/>
    <n v="1083622.6784904927"/>
  </r>
  <r>
    <x v="0"/>
    <x v="4"/>
    <x v="1"/>
    <s v="Økologisk"/>
    <x v="0"/>
    <s v="Grøntsager"/>
    <n v="1083.4582117187358"/>
    <n v="12814.601999103348"/>
    <n v="0"/>
    <n v="12814.601999103348"/>
  </r>
  <r>
    <x v="0"/>
    <x v="5"/>
    <x v="1"/>
    <s v="Økologisk"/>
    <x v="0"/>
    <s v="Kartofler"/>
    <n v="6454.2981293560397"/>
    <n v="156248.31279404403"/>
    <n v="0"/>
    <n v="156248.31279404403"/>
  </r>
  <r>
    <x v="0"/>
    <x v="6"/>
    <x v="1"/>
    <s v="Økologisk"/>
    <x v="0"/>
    <s v="Roer"/>
    <n v="630.07402514807984"/>
    <n v="29181.643372485123"/>
    <n v="0"/>
    <n v="29181.643372485123"/>
  </r>
  <r>
    <x v="0"/>
    <x v="7"/>
    <x v="1"/>
    <s v="Økologisk"/>
    <x v="0"/>
    <s v="Majs"/>
    <n v="21576.636374009206"/>
    <n v="797112.15055593429"/>
    <n v="0"/>
    <n v="797112.15055593429"/>
  </r>
  <r>
    <x v="0"/>
    <x v="8"/>
    <x v="1"/>
    <s v="Økologisk"/>
    <x v="0"/>
    <s v="Frugt"/>
    <n v="396.47665329920017"/>
    <n v="1918.6694683108196"/>
    <n v="0"/>
    <n v="1918.6694683108196"/>
  </r>
  <r>
    <x v="0"/>
    <x v="9"/>
    <x v="1"/>
    <s v="Økologisk"/>
    <x v="0"/>
    <s v="Øvrige"/>
    <n v="7012.0469951120949"/>
    <n v="119090.41700157127"/>
    <n v="0"/>
    <n v="119090.41700157127"/>
  </r>
  <r>
    <x v="0"/>
    <x v="10"/>
    <x v="1"/>
    <s v="Økologisk"/>
    <x v="0"/>
    <s v="Halm"/>
    <n v="7376.0567457626612"/>
    <n v="60075.405242766195"/>
    <n v="14395.702429570072"/>
    <n v="14395.702429570072"/>
  </r>
  <r>
    <x v="0"/>
    <x v="11"/>
    <x v="1"/>
    <s v="Økologisk"/>
    <x v="0"/>
    <s v="Juletræer"/>
    <n v="1988.5461160291493"/>
    <n v="56673.564306830755"/>
    <n v="0"/>
    <n v="56673.564306830755"/>
  </r>
  <r>
    <x v="0"/>
    <x v="12"/>
    <x v="1"/>
    <s v="Økologisk"/>
    <x v="0"/>
    <s v="Pil &amp; poppel"/>
    <n v="731.451063724959"/>
    <n v="10168.953812761625"/>
    <n v="0"/>
    <n v="10168.953812761625"/>
  </r>
  <r>
    <x v="0"/>
    <x v="13"/>
    <x v="1"/>
    <s v="Økologisk"/>
    <x v="0"/>
    <s v="Græs"/>
    <n v="17630.554035587287"/>
    <n v="243125.34015074873"/>
    <n v="0"/>
    <n v="243125.34015074873"/>
  </r>
  <r>
    <x v="0"/>
    <x v="0"/>
    <x v="2"/>
    <s v="Økologisk"/>
    <x v="0"/>
    <s v="Halm"/>
    <n v="149178.10063989804"/>
    <n v="700644.78527540923"/>
    <n v="398842.04401802667"/>
    <n v="398842.04401802667"/>
  </r>
  <r>
    <x v="0"/>
    <x v="1"/>
    <x v="2"/>
    <s v="Økologisk"/>
    <x v="0"/>
    <s v="Halm"/>
    <n v="10306.941022348496"/>
    <n v="22677.33163737116"/>
    <n v="11741.599702195708"/>
    <n v="11741.599702195708"/>
  </r>
  <r>
    <x v="0"/>
    <x v="2"/>
    <x v="2"/>
    <s v="Økologisk"/>
    <x v="0"/>
    <s v="Halm"/>
    <n v="17332.576125678694"/>
    <n v="41944.834224142447"/>
    <n v="39071.61307978868"/>
    <n v="39071.61307978868"/>
  </r>
  <r>
    <x v="0"/>
    <x v="3"/>
    <x v="2"/>
    <s v="Økologisk"/>
    <x v="0"/>
    <s v="Græs"/>
    <n v="33047.771312158278"/>
    <n v="1279067.7217572492"/>
    <n v="0"/>
    <n v="1279067.7217572492"/>
  </r>
  <r>
    <x v="0"/>
    <x v="4"/>
    <x v="2"/>
    <s v="Økologisk"/>
    <x v="0"/>
    <s v="Grøntsager"/>
    <n v="1278.8735913249209"/>
    <n v="15125.877401395501"/>
    <n v="0"/>
    <n v="15125.877401395501"/>
  </r>
  <r>
    <x v="0"/>
    <x v="5"/>
    <x v="2"/>
    <s v="Økologisk"/>
    <x v="0"/>
    <s v="Kartofler"/>
    <n v="7618.4123567416955"/>
    <n v="184429.67043868985"/>
    <n v="0"/>
    <n v="184429.67043868985"/>
  </r>
  <r>
    <x v="0"/>
    <x v="6"/>
    <x v="2"/>
    <s v="Økologisk"/>
    <x v="0"/>
    <s v="Roer"/>
    <n v="743.71583751571029"/>
    <n v="34444.921508630599"/>
    <n v="0"/>
    <n v="34444.921508630599"/>
  </r>
  <r>
    <x v="0"/>
    <x v="7"/>
    <x v="2"/>
    <s v="Økologisk"/>
    <x v="0"/>
    <s v="Majs"/>
    <n v="25468.255397287427"/>
    <n v="940881.39961860876"/>
    <n v="0"/>
    <n v="940881.39961860876"/>
  </r>
  <r>
    <x v="0"/>
    <x v="8"/>
    <x v="2"/>
    <s v="Økologisk"/>
    <x v="0"/>
    <s v="Frugt"/>
    <n v="467.98622780004507"/>
    <n v="2264.7257521927581"/>
    <n v="0"/>
    <n v="2264.7257521927581"/>
  </r>
  <r>
    <x v="0"/>
    <x v="9"/>
    <x v="2"/>
    <s v="Økologisk"/>
    <x v="0"/>
    <s v="Øvrige"/>
    <n v="8276.7582784319511"/>
    <n v="140569.8785941909"/>
    <n v="0"/>
    <n v="140569.8785941909"/>
  </r>
  <r>
    <x v="0"/>
    <x v="10"/>
    <x v="2"/>
    <s v="Økologisk"/>
    <x v="0"/>
    <s v="Halm"/>
    <n v="8706.4217874225778"/>
    <n v="70910.763721324838"/>
    <n v="20545.414133959799"/>
    <n v="20545.414133959799"/>
  </r>
  <r>
    <x v="0"/>
    <x v="11"/>
    <x v="2"/>
    <s v="Økologisk"/>
    <x v="0"/>
    <s v="Juletræer"/>
    <n v="2347.2055363235422"/>
    <n v="66895.357785220942"/>
    <n v="0"/>
    <n v="66895.357785220942"/>
  </r>
  <r>
    <x v="0"/>
    <x v="12"/>
    <x v="2"/>
    <s v="Økologisk"/>
    <x v="0"/>
    <s v="Pil &amp; poppel"/>
    <n v="863.37750605116003"/>
    <n v="12003.053132906372"/>
    <n v="0"/>
    <n v="12003.053132906372"/>
  </r>
  <r>
    <x v="0"/>
    <x v="13"/>
    <x v="2"/>
    <s v="Økologisk"/>
    <x v="0"/>
    <s v="Græs"/>
    <n v="20810.447244450646"/>
    <n v="286976.06750097446"/>
    <n v="0"/>
    <n v="286976.06750097446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843.531266124886"/>
    <n v="175335.78501064255"/>
    <n v="82548.087583010521"/>
    <n v="82548.087583010521"/>
  </r>
  <r>
    <x v="0"/>
    <x v="1"/>
    <x v="1"/>
    <s v="Konventionel"/>
    <x v="1"/>
    <s v="Halm"/>
    <n v="1786.7951054397183"/>
    <n v="8276.4349283967749"/>
    <n v="3544.1495452861272"/>
    <n v="3544.1495452861272"/>
  </r>
  <r>
    <x v="0"/>
    <x v="2"/>
    <x v="1"/>
    <s v="Konventionel"/>
    <x v="1"/>
    <s v="Halm"/>
    <n v="1913.2698208119741"/>
    <n v="10102.064653887224"/>
    <n v="7782.6306093547173"/>
    <n v="7782.6306093547173"/>
  </r>
  <r>
    <x v="0"/>
    <x v="3"/>
    <x v="1"/>
    <s v="Konventionel"/>
    <x v="1"/>
    <s v="Græs"/>
    <n v="17656.329249729286"/>
    <n v="1051328.4688458806"/>
    <n v="0"/>
    <n v="1051328.4688458806"/>
  </r>
  <r>
    <x v="0"/>
    <x v="4"/>
    <x v="1"/>
    <s v="Konventionel"/>
    <x v="1"/>
    <s v="Grøntsager"/>
    <n v="82.579316026090069"/>
    <n v="2056.2249690496424"/>
    <n v="0"/>
    <n v="2056.2249690496424"/>
  </r>
  <r>
    <x v="0"/>
    <x v="5"/>
    <x v="1"/>
    <s v="Konventionel"/>
    <x v="1"/>
    <s v="Kartofler"/>
    <n v="1303.7133622629699"/>
    <n v="66443.854977046722"/>
    <n v="0"/>
    <n v="66443.854977046722"/>
  </r>
  <r>
    <x v="0"/>
    <x v="6"/>
    <x v="1"/>
    <s v="Konventionel"/>
    <x v="1"/>
    <s v="Roer"/>
    <n v="34.203336491457428"/>
    <n v="3334.9784571849705"/>
    <n v="0"/>
    <n v="3334.9784571849705"/>
  </r>
  <r>
    <x v="0"/>
    <x v="7"/>
    <x v="1"/>
    <s v="Konventionel"/>
    <x v="1"/>
    <s v="Majs"/>
    <n v="4415.1367500105207"/>
    <n v="235821.28409156195"/>
    <n v="0"/>
    <n v="235821.28409156195"/>
  </r>
  <r>
    <x v="0"/>
    <x v="8"/>
    <x v="1"/>
    <s v="Konventionel"/>
    <x v="1"/>
    <s v="Frugt"/>
    <n v="75.215650030725556"/>
    <n v="766.29704251303201"/>
    <n v="0"/>
    <n v="766.29704251303201"/>
  </r>
  <r>
    <x v="0"/>
    <x v="9"/>
    <x v="1"/>
    <s v="Konventionel"/>
    <x v="1"/>
    <s v="Øvrige"/>
    <n v="1330.2565696985414"/>
    <n v="47563.499522557722"/>
    <n v="0"/>
    <n v="47563.499522557722"/>
  </r>
  <r>
    <x v="0"/>
    <x v="10"/>
    <x v="1"/>
    <s v="Konventionel"/>
    <x v="1"/>
    <s v="Halm"/>
    <n v="3283.4655055701205"/>
    <n v="56300.377701230325"/>
    <n v="13491.103069286512"/>
    <n v="13491.103069286512"/>
  </r>
  <r>
    <x v="0"/>
    <x v="11"/>
    <x v="1"/>
    <s v="Konventionel"/>
    <x v="1"/>
    <s v="Juletræer"/>
    <n v="377.24740533545247"/>
    <n v="22634.844320127148"/>
    <n v="0"/>
    <n v="22634.844320127148"/>
  </r>
  <r>
    <x v="0"/>
    <x v="12"/>
    <x v="1"/>
    <s v="Konventionel"/>
    <x v="1"/>
    <s v="Pil &amp; poppel"/>
    <n v="619.57934642519353"/>
    <n v="18134.029651469082"/>
    <n v="0"/>
    <n v="18134.029651469082"/>
  </r>
  <r>
    <x v="0"/>
    <x v="13"/>
    <x v="1"/>
    <s v="Konventionel"/>
    <x v="1"/>
    <s v="Græs"/>
    <n v="17512.450507812609"/>
    <n v="289796.03100328305"/>
    <n v="0"/>
    <n v="289796.03100328305"/>
  </r>
  <r>
    <x v="0"/>
    <x v="0"/>
    <x v="2"/>
    <s v="Konventionel"/>
    <x v="1"/>
    <s v="Halm"/>
    <n v="16500.437390404819"/>
    <n v="138801.67932808533"/>
    <n v="79012.855957512569"/>
    <n v="79012.855957512569"/>
  </r>
  <r>
    <x v="0"/>
    <x v="1"/>
    <x v="2"/>
    <s v="Konventionel"/>
    <x v="1"/>
    <s v="Halm"/>
    <n v="1414.4868444007736"/>
    <n v="6551.9030632643844"/>
    <n v="3392.366627900064"/>
    <n v="3392.366627900064"/>
  </r>
  <r>
    <x v="0"/>
    <x v="2"/>
    <x v="2"/>
    <s v="Konventionel"/>
    <x v="1"/>
    <s v="Halm"/>
    <n v="1514.6084646686793"/>
    <n v="7997.132693450626"/>
    <n v="7449.3291039492588"/>
    <n v="7449.3291039492588"/>
  </r>
  <r>
    <x v="0"/>
    <x v="3"/>
    <x v="2"/>
    <s v="Konventionel"/>
    <x v="1"/>
    <s v="Græs"/>
    <n v="13977.341536317093"/>
    <n v="832266.82443846506"/>
    <n v="0"/>
    <n v="832266.82443846506"/>
  </r>
  <r>
    <x v="0"/>
    <x v="4"/>
    <x v="2"/>
    <s v="Konventionel"/>
    <x v="1"/>
    <s v="Grøntsager"/>
    <n v="65.372552109030366"/>
    <n v="1627.7765475148562"/>
    <n v="0"/>
    <n v="1627.7765475148562"/>
  </r>
  <r>
    <x v="0"/>
    <x v="5"/>
    <x v="2"/>
    <s v="Konventionel"/>
    <x v="1"/>
    <s v="Kartofler"/>
    <n v="1032.0631583197971"/>
    <n v="52599.180773542932"/>
    <n v="0"/>
    <n v="52599.180773542932"/>
  </r>
  <r>
    <x v="0"/>
    <x v="6"/>
    <x v="2"/>
    <s v="Konventionel"/>
    <x v="1"/>
    <s v="Roer"/>
    <n v="27.076506620423842"/>
    <n v="2640.0806335806697"/>
    <n v="0"/>
    <n v="2640.0806335806697"/>
  </r>
  <r>
    <x v="0"/>
    <x v="7"/>
    <x v="2"/>
    <s v="Konventionel"/>
    <x v="1"/>
    <s v="Majs"/>
    <n v="3495.1701121787992"/>
    <n v="186684.02603169403"/>
    <n v="0"/>
    <n v="186684.02603169403"/>
  </r>
  <r>
    <x v="0"/>
    <x v="8"/>
    <x v="2"/>
    <s v="Konventionel"/>
    <x v="1"/>
    <s v="Frugt"/>
    <n v="59.54322750136015"/>
    <n v="606.62640178385732"/>
    <n v="0"/>
    <n v="606.62640178385732"/>
  </r>
  <r>
    <x v="0"/>
    <x v="9"/>
    <x v="2"/>
    <s v="Konventionel"/>
    <x v="1"/>
    <s v="Øvrige"/>
    <n v="1053.0756502454326"/>
    <n v="37652.859101471367"/>
    <n v="0"/>
    <n v="37652.859101471367"/>
  </r>
  <r>
    <x v="0"/>
    <x v="10"/>
    <x v="2"/>
    <s v="Konventionel"/>
    <x v="1"/>
    <s v="Halm"/>
    <n v="2599.3012559376307"/>
    <n v="44569.264461683793"/>
    <n v="12913.328639498148"/>
    <n v="12913.328639498148"/>
  </r>
  <r>
    <x v="0"/>
    <x v="11"/>
    <x v="2"/>
    <s v="Konventionel"/>
    <x v="1"/>
    <s v="Juletræer"/>
    <n v="298.64167990319493"/>
    <n v="17918.500794191696"/>
    <n v="0"/>
    <n v="17918.500794191696"/>
  </r>
  <r>
    <x v="0"/>
    <x v="12"/>
    <x v="2"/>
    <s v="Konventionel"/>
    <x v="1"/>
    <s v="Pil &amp; poppel"/>
    <n v="490.4797600535137"/>
    <n v="14355.505172297962"/>
    <n v="0"/>
    <n v="14355.505172297962"/>
  </r>
  <r>
    <x v="0"/>
    <x v="13"/>
    <x v="2"/>
    <s v="Konventionel"/>
    <x v="1"/>
    <s v="Græs"/>
    <n v="13863.442305783894"/>
    <n v="229412.2432761119"/>
    <n v="0"/>
    <n v="229412.2432761119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253.0366715917453"/>
    <n v="18334.24480255794"/>
    <n v="8631.7624530442808"/>
    <n v="8631.7624530442808"/>
  </r>
  <r>
    <x v="0"/>
    <x v="1"/>
    <x v="1"/>
    <s v="Økologisk"/>
    <x v="1"/>
    <s v="Halm"/>
    <n v="278.86397599348209"/>
    <n v="736.26782397703118"/>
    <n v="315.28590463556941"/>
    <n v="315.28590463556941"/>
  </r>
  <r>
    <x v="0"/>
    <x v="2"/>
    <x v="1"/>
    <s v="Økologisk"/>
    <x v="1"/>
    <s v="Halm"/>
    <n v="298.60280440418097"/>
    <n v="867.14254398974163"/>
    <n v="668.04661588969702"/>
    <n v="668.04661588969702"/>
  </r>
  <r>
    <x v="0"/>
    <x v="3"/>
    <x v="1"/>
    <s v="Økologisk"/>
    <x v="1"/>
    <s v="Græs"/>
    <n v="2755.6120794375188"/>
    <n v="127982.52921326154"/>
    <n v="0"/>
    <n v="127982.52921326154"/>
  </r>
  <r>
    <x v="0"/>
    <x v="4"/>
    <x v="1"/>
    <s v="Økologisk"/>
    <x v="1"/>
    <s v="Grøntsager"/>
    <n v="12.888101345112323"/>
    <n v="182.92082239117917"/>
    <n v="0"/>
    <n v="182.92082239117917"/>
  </r>
  <r>
    <x v="0"/>
    <x v="5"/>
    <x v="1"/>
    <s v="Økologisk"/>
    <x v="1"/>
    <s v="Kartofler"/>
    <n v="203.46971549768895"/>
    <n v="5910.8146132760057"/>
    <n v="0"/>
    <n v="5910.8146132760057"/>
  </r>
  <r>
    <x v="0"/>
    <x v="6"/>
    <x v="1"/>
    <s v="Økologisk"/>
    <x v="1"/>
    <s v="Roer"/>
    <n v="5.3380929784355526"/>
    <n v="296.67814136460527"/>
    <n v="0"/>
    <n v="296.67814136460527"/>
  </r>
  <r>
    <x v="0"/>
    <x v="7"/>
    <x v="1"/>
    <s v="Økologisk"/>
    <x v="1"/>
    <s v="Majs"/>
    <n v="689.0675852617577"/>
    <n v="30547.716627120833"/>
    <n v="0"/>
    <n v="30547.716627120833"/>
  </r>
  <r>
    <x v="0"/>
    <x v="8"/>
    <x v="1"/>
    <s v="Økologisk"/>
    <x v="1"/>
    <s v="Frugt"/>
    <n v="11.73885867531555"/>
    <n v="68.169430544945442"/>
    <n v="0"/>
    <n v="68.169430544945442"/>
  </r>
  <r>
    <x v="0"/>
    <x v="9"/>
    <x v="1"/>
    <s v="Økologisk"/>
    <x v="1"/>
    <s v="Øvrige"/>
    <n v="207.61229700497469"/>
    <n v="4231.2269228448749"/>
    <n v="0"/>
    <n v="4231.2269228448749"/>
  </r>
  <r>
    <x v="0"/>
    <x v="10"/>
    <x v="1"/>
    <s v="Økologisk"/>
    <x v="1"/>
    <s v="Halm"/>
    <n v="512.44837370169512"/>
    <n v="5008.4555654447104"/>
    <n v="1200.1622903833493"/>
    <n v="1200.1622903833493"/>
  </r>
  <r>
    <x v="0"/>
    <x v="11"/>
    <x v="1"/>
    <s v="Økologisk"/>
    <x v="1"/>
    <s v="Juletræer"/>
    <n v="58.876762682411666"/>
    <n v="2013.5852837384791"/>
    <n v="0"/>
    <n v="2013.5852837384791"/>
  </r>
  <r>
    <x v="0"/>
    <x v="12"/>
    <x v="1"/>
    <s v="Økologisk"/>
    <x v="1"/>
    <s v="Pil &amp; poppel"/>
    <n v="96.697354644394366"/>
    <n v="1613.1948921162375"/>
    <n v="0"/>
    <n v="1613.1948921162375"/>
  </r>
  <r>
    <x v="0"/>
    <x v="13"/>
    <x v="1"/>
    <s v="Økologisk"/>
    <x v="1"/>
    <s v="Græs"/>
    <n v="2733.1570156701764"/>
    <n v="45228.282295310084"/>
    <n v="0"/>
    <n v="45228.282295310084"/>
  </r>
  <r>
    <x v="0"/>
    <x v="0"/>
    <x v="2"/>
    <s v="Økologisk"/>
    <x v="1"/>
    <s v="Halm"/>
    <n v="3500.0927797828404"/>
    <n v="19726.66291056728"/>
    <n v="11229.402861840425"/>
    <n v="11229.402861840425"/>
  </r>
  <r>
    <x v="0"/>
    <x v="1"/>
    <x v="2"/>
    <s v="Økologisk"/>
    <x v="1"/>
    <s v="Halm"/>
    <n v="300.04266396380046"/>
    <n v="792.18464310378454"/>
    <n v="410.16796500973498"/>
    <n v="410.16796500973498"/>
  </r>
  <r>
    <x v="0"/>
    <x v="2"/>
    <x v="2"/>
    <s v="Økologisk"/>
    <x v="1"/>
    <s v="Halm"/>
    <n v="321.28058341456835"/>
    <n v="932.99881423590659"/>
    <n v="869.08839546074694"/>
    <n v="869.08839546074694"/>
  </r>
  <r>
    <x v="0"/>
    <x v="3"/>
    <x v="2"/>
    <s v="Økologisk"/>
    <x v="1"/>
    <s v="Græs"/>
    <n v="2964.8906289157476"/>
    <n v="137702.32913436423"/>
    <n v="0"/>
    <n v="137702.32913436423"/>
  </r>
  <r>
    <x v="0"/>
    <x v="4"/>
    <x v="2"/>
    <s v="Økologisk"/>
    <x v="1"/>
    <s v="Grøntsager"/>
    <n v="13.866904992824622"/>
    <n v="196.81298256315984"/>
    <n v="0"/>
    <n v="196.81298256315984"/>
  </r>
  <r>
    <x v="0"/>
    <x v="5"/>
    <x v="2"/>
    <s v="Økologisk"/>
    <x v="1"/>
    <s v="Kartofler"/>
    <n v="218.92248812844184"/>
    <n v="6359.7191298920079"/>
    <n v="0"/>
    <n v="6359.7191298920079"/>
  </r>
  <r>
    <x v="0"/>
    <x v="6"/>
    <x v="2"/>
    <s v="Økologisk"/>
    <x v="1"/>
    <s v="Roer"/>
    <n v="5.7435014043323305"/>
    <n v="319.20974933293547"/>
    <n v="0"/>
    <n v="319.20974933293547"/>
  </r>
  <r>
    <x v="0"/>
    <x v="7"/>
    <x v="2"/>
    <s v="Økologisk"/>
    <x v="1"/>
    <s v="Majs"/>
    <n v="741.39972076519973"/>
    <n v="32867.702764973998"/>
    <n v="0"/>
    <n v="32867.702764973998"/>
  </r>
  <r>
    <x v="0"/>
    <x v="8"/>
    <x v="2"/>
    <s v="Økologisk"/>
    <x v="1"/>
    <s v="Frugt"/>
    <n v="12.630381591197606"/>
    <n v="73.346646761139084"/>
    <n v="0"/>
    <n v="73.346646761139084"/>
  </r>
  <r>
    <x v="0"/>
    <x v="9"/>
    <x v="2"/>
    <s v="Økologisk"/>
    <x v="1"/>
    <s v="Øvrige"/>
    <n v="223.3796833853948"/>
    <n v="4552.5729640869913"/>
    <n v="0"/>
    <n v="4552.5729640869913"/>
  </r>
  <r>
    <x v="0"/>
    <x v="10"/>
    <x v="2"/>
    <s v="Økologisk"/>
    <x v="1"/>
    <s v="Halm"/>
    <n v="551.36693307767916"/>
    <n v="5388.8292485490392"/>
    <n v="1561.3388264120485"/>
    <n v="1561.3388264120485"/>
  </r>
  <r>
    <x v="0"/>
    <x v="11"/>
    <x v="2"/>
    <s v="Økologisk"/>
    <x v="1"/>
    <s v="Juletræer"/>
    <n v="63.34823513098074"/>
    <n v="2166.5096414795412"/>
    <n v="0"/>
    <n v="2166.5096414795412"/>
  </r>
  <r>
    <x v="0"/>
    <x v="12"/>
    <x v="2"/>
    <s v="Økologisk"/>
    <x v="1"/>
    <s v="Pil &amp; poppel"/>
    <n v="104.0411612234726"/>
    <n v="1735.7110799232989"/>
    <n v="0"/>
    <n v="1735.7110799232989"/>
  </r>
  <r>
    <x v="0"/>
    <x v="13"/>
    <x v="2"/>
    <s v="Økologisk"/>
    <x v="1"/>
    <s v="Græs"/>
    <n v="2940.7301860753714"/>
    <n v="48663.203119175247"/>
    <n v="0"/>
    <n v="48663.203119175247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8269.0161200631464"/>
    <n v="81152.124202299703"/>
    <n v="38206.420074442714"/>
    <n v="38206.420074442714"/>
  </r>
  <r>
    <x v="0"/>
    <x v="1"/>
    <x v="1"/>
    <s v="Konventionel"/>
    <x v="2"/>
    <s v="Halm"/>
    <n v="476.12351737499114"/>
    <n v="2572.9714878944524"/>
    <n v="1101.8023832420477"/>
    <n v="1101.8023832420477"/>
  </r>
  <r>
    <x v="0"/>
    <x v="2"/>
    <x v="1"/>
    <s v="Konventionel"/>
    <x v="2"/>
    <s v="Halm"/>
    <n v="616.55839503976472"/>
    <n v="3797.9997134449509"/>
    <n v="2925.9789792379906"/>
    <n v="2925.9789792379906"/>
  </r>
  <r>
    <x v="0"/>
    <x v="3"/>
    <x v="1"/>
    <s v="Konventionel"/>
    <x v="2"/>
    <s v="Græs"/>
    <n v="14219.782896462779"/>
    <n v="987819.87825147621"/>
    <n v="0"/>
    <n v="987819.87825147621"/>
  </r>
  <r>
    <x v="0"/>
    <x v="4"/>
    <x v="1"/>
    <s v="Konventionel"/>
    <x v="2"/>
    <s v="Grøntsager"/>
    <n v="16.527831515094178"/>
    <n v="480.13350551348589"/>
    <n v="0"/>
    <n v="480.13350551348589"/>
  </r>
  <r>
    <x v="0"/>
    <x v="5"/>
    <x v="1"/>
    <s v="Konventionel"/>
    <x v="2"/>
    <s v="Kartofler"/>
    <n v="874.82296878583463"/>
    <n v="52016.325706991804"/>
    <n v="0"/>
    <n v="52016.325706991804"/>
  </r>
  <r>
    <x v="0"/>
    <x v="6"/>
    <x v="1"/>
    <s v="Konventionel"/>
    <x v="2"/>
    <s v="Roer"/>
    <n v="9.4603904307598334"/>
    <n v="1076.1688314489425"/>
    <n v="0"/>
    <n v="1076.1688314489425"/>
  </r>
  <r>
    <x v="0"/>
    <x v="7"/>
    <x v="1"/>
    <s v="Konventionel"/>
    <x v="2"/>
    <s v="Majs"/>
    <n v="1176.4921633749784"/>
    <n v="73311.932668548412"/>
    <n v="0"/>
    <n v="73311.932668548412"/>
  </r>
  <r>
    <x v="0"/>
    <x v="8"/>
    <x v="1"/>
    <s v="Konventionel"/>
    <x v="2"/>
    <s v="Frugt"/>
    <n v="33.714690278143649"/>
    <n v="400.73280864601543"/>
    <n v="0"/>
    <n v="400.73280864601543"/>
  </r>
  <r>
    <x v="0"/>
    <x v="9"/>
    <x v="1"/>
    <s v="Konventionel"/>
    <x v="2"/>
    <s v="Øvrige"/>
    <n v="596.27468777483512"/>
    <n v="24873.193677220581"/>
    <n v="0"/>
    <n v="24873.193677220581"/>
  </r>
  <r>
    <x v="0"/>
    <x v="10"/>
    <x v="1"/>
    <s v="Konventionel"/>
    <x v="2"/>
    <s v="Halm"/>
    <n v="1897.1467002204627"/>
    <n v="37951.291055696296"/>
    <n v="9094.1624221768125"/>
    <n v="9094.1624221768125"/>
  </r>
  <r>
    <x v="0"/>
    <x v="11"/>
    <x v="1"/>
    <s v="Konventionel"/>
    <x v="2"/>
    <s v="Juletræer"/>
    <n v="169.09751393390181"/>
    <n v="11836.825975373127"/>
    <n v="0"/>
    <n v="11836.825975373127"/>
  </r>
  <r>
    <x v="0"/>
    <x v="12"/>
    <x v="1"/>
    <s v="Konventionel"/>
    <x v="2"/>
    <s v="Pil &amp; poppel"/>
    <n v="399.1587138370042"/>
    <n v="13629.809740775754"/>
    <n v="0"/>
    <n v="13629.809740775754"/>
  </r>
  <r>
    <x v="0"/>
    <x v="13"/>
    <x v="1"/>
    <s v="Konventionel"/>
    <x v="2"/>
    <s v="Græs"/>
    <n v="14762.990467149724"/>
    <n v="285014.29395879258"/>
    <n v="0"/>
    <n v="285014.29395879258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290.5400881023411"/>
    <n v="8485.7914845063697"/>
    <n v="3995.1106309056008"/>
    <n v="3995.1106309056008"/>
  </r>
  <r>
    <x v="0"/>
    <x v="1"/>
    <x v="1"/>
    <s v="Økologisk"/>
    <x v="2"/>
    <s v="Halm"/>
    <n v="74.308294619218273"/>
    <n v="228.89035374968569"/>
    <n v="98.015830509220322"/>
    <n v="98.015830509220322"/>
  </r>
  <r>
    <x v="0"/>
    <x v="2"/>
    <x v="1"/>
    <s v="Økologisk"/>
    <x v="2"/>
    <s v="Halm"/>
    <n v="96.225876682506637"/>
    <n v="326.01327020033256"/>
    <n v="251.1606233623362"/>
    <n v="251.1606233623362"/>
  </r>
  <r>
    <x v="0"/>
    <x v="3"/>
    <x v="1"/>
    <s v="Økologisk"/>
    <x v="2"/>
    <s v="Græs"/>
    <n v="2219.2724751704914"/>
    <n v="120251.36783801208"/>
    <n v="0"/>
    <n v="120251.36783801208"/>
  </r>
  <r>
    <x v="0"/>
    <x v="4"/>
    <x v="1"/>
    <s v="Økologisk"/>
    <x v="2"/>
    <s v="Grøntsager"/>
    <n v="2.5794881555349294"/>
    <n v="42.712454623425124"/>
    <n v="0"/>
    <n v="42.712454623425124"/>
  </r>
  <r>
    <x v="0"/>
    <x v="5"/>
    <x v="1"/>
    <s v="Økologisk"/>
    <x v="2"/>
    <s v="Kartofler"/>
    <n v="136.5330644925869"/>
    <n v="4627.3482811017566"/>
    <n v="0"/>
    <n v="4627.3482811017566"/>
  </r>
  <r>
    <x v="0"/>
    <x v="6"/>
    <x v="1"/>
    <s v="Økologisk"/>
    <x v="2"/>
    <s v="Roer"/>
    <n v="1.4764771192515349"/>
    <n v="95.73548159537124"/>
    <n v="0"/>
    <n v="95.73548159537124"/>
  </r>
  <r>
    <x v="0"/>
    <x v="7"/>
    <x v="1"/>
    <s v="Økologisk"/>
    <x v="2"/>
    <s v="Majs"/>
    <n v="183.61438387933188"/>
    <n v="9496.6497751570496"/>
    <n v="0"/>
    <n v="9496.6497751570496"/>
  </r>
  <r>
    <x v="0"/>
    <x v="8"/>
    <x v="1"/>
    <s v="Økologisk"/>
    <x v="2"/>
    <s v="Frugt"/>
    <n v="5.2618302746235761"/>
    <n v="35.649005347180221"/>
    <n v="0"/>
    <n v="35.649005347180221"/>
  </r>
  <r>
    <x v="0"/>
    <x v="9"/>
    <x v="1"/>
    <s v="Økologisk"/>
    <x v="2"/>
    <s v="Øvrige"/>
    <n v="93.060211386823994"/>
    <n v="2212.7078074706633"/>
    <n v="0"/>
    <n v="2212.7078074706633"/>
  </r>
  <r>
    <x v="0"/>
    <x v="10"/>
    <x v="1"/>
    <s v="Økologisk"/>
    <x v="2"/>
    <s v="Halm"/>
    <n v="296.08647922515894"/>
    <n v="3376.1293025847745"/>
    <n v="809.01248368382142"/>
    <n v="809.01248368382142"/>
  </r>
  <r>
    <x v="0"/>
    <x v="11"/>
    <x v="1"/>
    <s v="Økologisk"/>
    <x v="2"/>
    <s v="Juletræer"/>
    <n v="26.390941481013577"/>
    <n v="1052.9985650924416"/>
    <n v="0"/>
    <n v="1052.9985650924416"/>
  </r>
  <r>
    <x v="0"/>
    <x v="12"/>
    <x v="1"/>
    <s v="Økologisk"/>
    <x v="2"/>
    <s v="Pil &amp; poppel"/>
    <n v="62.296446668202975"/>
    <n v="1212.5015717372187"/>
    <n v="0"/>
    <n v="1212.5015717372187"/>
  </r>
  <r>
    <x v="0"/>
    <x v="13"/>
    <x v="1"/>
    <s v="Økologisk"/>
    <x v="2"/>
    <s v="Græs"/>
    <n v="2304.0505353355065"/>
    <n v="44481.999635187291"/>
    <n v="0"/>
    <n v="44481.999635187291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77847.44549518183"/>
    <n v="1947710.5929212247"/>
    <n v="916982.14714731264"/>
    <n v="916982.14714731264"/>
  </r>
  <r>
    <x v="1"/>
    <x v="1"/>
    <x v="1"/>
    <s v="Konventionel"/>
    <x v="0"/>
    <s v="Halm"/>
    <n v="6055.6397331754633"/>
    <n v="23374.769370057289"/>
    <n v="10009.584917996119"/>
    <n v="10009.584917996119"/>
  </r>
  <r>
    <x v="1"/>
    <x v="2"/>
    <x v="1"/>
    <s v="Konventionel"/>
    <x v="0"/>
    <s v="Halm"/>
    <n v="38413.381365538749"/>
    <n v="169018.87800837052"/>
    <n v="130212.14361764863"/>
    <n v="130212.14361764863"/>
  </r>
  <r>
    <x v="1"/>
    <x v="3"/>
    <x v="1"/>
    <s v="Konventionel"/>
    <x v="0"/>
    <s v="Græs"/>
    <n v="23337.085725305184"/>
    <n v="1157986.1936896432"/>
    <n v="0"/>
    <n v="1157986.1936896432"/>
  </r>
  <r>
    <x v="1"/>
    <x v="4"/>
    <x v="1"/>
    <s v="Konventionel"/>
    <x v="0"/>
    <s v="Grøntsager"/>
    <n v="3656.9274374465294"/>
    <n v="75881.244327015491"/>
    <n v="0"/>
    <n v="75881.244327015491"/>
  </r>
  <r>
    <x v="1"/>
    <x v="5"/>
    <x v="1"/>
    <s v="Konventionel"/>
    <x v="0"/>
    <s v="Kartofler"/>
    <n v="2345.9279292965525"/>
    <n v="99633.669251129249"/>
    <n v="0"/>
    <n v="99633.669251129249"/>
  </r>
  <r>
    <x v="1"/>
    <x v="6"/>
    <x v="1"/>
    <s v="Konventionel"/>
    <x v="0"/>
    <s v="Roer"/>
    <n v="24387.347223432687"/>
    <n v="1981562.9594681722"/>
    <n v="0"/>
    <n v="1981562.9594681722"/>
  </r>
  <r>
    <x v="1"/>
    <x v="7"/>
    <x v="1"/>
    <s v="Konventionel"/>
    <x v="0"/>
    <s v="Majs"/>
    <n v="6897.6493288624933"/>
    <n v="307014.37162766961"/>
    <n v="0"/>
    <n v="307014.37162766961"/>
  </r>
  <r>
    <x v="1"/>
    <x v="8"/>
    <x v="1"/>
    <s v="Konventionel"/>
    <x v="0"/>
    <s v="Frugt"/>
    <n v="1604.9535438553075"/>
    <n v="13626.055587331561"/>
    <n v="0"/>
    <n v="13626.055587331561"/>
  </r>
  <r>
    <x v="1"/>
    <x v="9"/>
    <x v="1"/>
    <s v="Konventionel"/>
    <x v="0"/>
    <s v="Øvrige"/>
    <n v="11460.146724373322"/>
    <n v="341465.88439495384"/>
    <n v="0"/>
    <n v="341465.88439495384"/>
  </r>
  <r>
    <x v="1"/>
    <x v="10"/>
    <x v="1"/>
    <s v="Konventionel"/>
    <x v="0"/>
    <s v="Halm"/>
    <n v="35457.355952106635"/>
    <n v="506645.22209945583"/>
    <n v="121405.98678001313"/>
    <n v="121405.98678001313"/>
  </r>
  <r>
    <x v="1"/>
    <x v="11"/>
    <x v="1"/>
    <s v="Konventionel"/>
    <x v="0"/>
    <s v="Juletræer"/>
    <n v="2514.9530700143437"/>
    <n v="125747.65350071719"/>
    <n v="0"/>
    <n v="125747.65350071719"/>
  </r>
  <r>
    <x v="1"/>
    <x v="12"/>
    <x v="1"/>
    <s v="Konventionel"/>
    <x v="0"/>
    <s v="Pil &amp; poppel"/>
    <n v="1195.4478510811762"/>
    <n v="29157.264660516492"/>
    <n v="0"/>
    <n v="29157.264660516492"/>
  </r>
  <r>
    <x v="1"/>
    <x v="13"/>
    <x v="1"/>
    <s v="Konventionel"/>
    <x v="0"/>
    <s v="Græs"/>
    <n v="29775.268629829476"/>
    <n v="410600.95440534852"/>
    <n v="0"/>
    <n v="410600.95440534852"/>
  </r>
  <r>
    <x v="1"/>
    <x v="0"/>
    <x v="2"/>
    <s v="Konventionel"/>
    <x v="0"/>
    <s v="Halm"/>
    <n v="252961.21164089115"/>
    <n v="1773258.0936026471"/>
    <n v="1009427.1697833068"/>
    <n v="1009427.1697833068"/>
  </r>
  <r>
    <x v="1"/>
    <x v="1"/>
    <x v="2"/>
    <s v="Konventionel"/>
    <x v="0"/>
    <s v="Halm"/>
    <n v="5513.2483274579954"/>
    <n v="21281.138543987865"/>
    <n v="11018.695408532636"/>
    <n v="11018.695408532636"/>
  </r>
  <r>
    <x v="1"/>
    <x v="2"/>
    <x v="2"/>
    <s v="Konventionel"/>
    <x v="0"/>
    <s v="Halm"/>
    <n v="34972.772472795026"/>
    <n v="153880.19888029812"/>
    <n v="143339.40525699768"/>
    <n v="143339.40525699768"/>
  </r>
  <r>
    <x v="1"/>
    <x v="3"/>
    <x v="2"/>
    <s v="Konventionel"/>
    <x v="0"/>
    <s v="Græs"/>
    <n v="21246.830147095647"/>
    <n v="1054267.7118988861"/>
    <n v="0"/>
    <n v="1054267.7118988861"/>
  </r>
  <r>
    <x v="1"/>
    <x v="4"/>
    <x v="2"/>
    <s v="Konventionel"/>
    <x v="0"/>
    <s v="Grøntsager"/>
    <n v="3329.3838415920754"/>
    <n v="69084.714713035573"/>
    <n v="0"/>
    <n v="69084.714713035573"/>
  </r>
  <r>
    <x v="1"/>
    <x v="5"/>
    <x v="2"/>
    <s v="Konventionel"/>
    <x v="0"/>
    <s v="Kartofler"/>
    <n v="2135.807908398976"/>
    <n v="90709.682966764973"/>
    <n v="0"/>
    <n v="90709.682966764973"/>
  </r>
  <r>
    <x v="1"/>
    <x v="6"/>
    <x v="2"/>
    <s v="Konventionel"/>
    <x v="0"/>
    <s v="Roer"/>
    <n v="22203.021846582469"/>
    <n v="1804078.372131268"/>
    <n v="0"/>
    <n v="1804078.372131268"/>
  </r>
  <r>
    <x v="1"/>
    <x v="7"/>
    <x v="2"/>
    <s v="Konventionel"/>
    <x v="0"/>
    <s v="Majs"/>
    <n v="6279.8408262972243"/>
    <n v="279515.71517848945"/>
    <n v="0"/>
    <n v="279515.71517848945"/>
  </r>
  <r>
    <x v="1"/>
    <x v="8"/>
    <x v="2"/>
    <s v="Konventionel"/>
    <x v="0"/>
    <s v="Frugt"/>
    <n v="1461.2011003283492"/>
    <n v="12405.597341787687"/>
    <n v="0"/>
    <n v="12405.597341787687"/>
  </r>
  <r>
    <x v="1"/>
    <x v="9"/>
    <x v="2"/>
    <s v="Konventionel"/>
    <x v="0"/>
    <s v="Øvrige"/>
    <n v="10433.684555973852"/>
    <n v="310881.47561203281"/>
    <n v="0"/>
    <n v="310881.47561203281"/>
  </r>
  <r>
    <x v="1"/>
    <x v="10"/>
    <x v="2"/>
    <s v="Konventionel"/>
    <x v="0"/>
    <s v="Halm"/>
    <n v="32281.512278228936"/>
    <n v="461266.03404949862"/>
    <n v="133645.46083186779"/>
    <n v="133645.46083186779"/>
  </r>
  <r>
    <x v="1"/>
    <x v="11"/>
    <x v="2"/>
    <s v="Konventionel"/>
    <x v="0"/>
    <s v="Juletræer"/>
    <n v="2289.6938090504755"/>
    <n v="114484.69045252376"/>
    <n v="0"/>
    <n v="114484.69045252376"/>
  </r>
  <r>
    <x v="1"/>
    <x v="12"/>
    <x v="2"/>
    <s v="Konventionel"/>
    <x v="0"/>
    <s v="Pil &amp; poppel"/>
    <n v="1088.3740043895341"/>
    <n v="26545.707424134976"/>
    <n v="0"/>
    <n v="26545.707424134976"/>
  </r>
  <r>
    <x v="1"/>
    <x v="13"/>
    <x v="2"/>
    <s v="Konventionel"/>
    <x v="0"/>
    <s v="Græs"/>
    <n v="27108.358027589973"/>
    <n v="373824.25720046577"/>
    <n v="0"/>
    <n v="373824.25720046577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363.474152427225"/>
    <n v="203665.22905170496"/>
    <n v="95885.589837542706"/>
    <n v="95885.589837542706"/>
  </r>
  <r>
    <x v="1"/>
    <x v="1"/>
    <x v="1"/>
    <s v="Økologisk"/>
    <x v="0"/>
    <s v="Halm"/>
    <n v="945.0998427499278"/>
    <n v="2079.4086740183911"/>
    <n v="890.4480455951458"/>
    <n v="890.4480455951458"/>
  </r>
  <r>
    <x v="1"/>
    <x v="2"/>
    <x v="1"/>
    <s v="Økologisk"/>
    <x v="0"/>
    <s v="Halm"/>
    <n v="5995.1520050262798"/>
    <n v="14508.267852163597"/>
    <n v="11177.169553306838"/>
    <n v="11177.169553306838"/>
  </r>
  <r>
    <x v="1"/>
    <x v="3"/>
    <x v="1"/>
    <s v="Økologisk"/>
    <x v="0"/>
    <s v="Græs"/>
    <n v="3642.2041305389598"/>
    <n v="140966.41178672769"/>
    <n v="0"/>
    <n v="140966.41178672769"/>
  </r>
  <r>
    <x v="1"/>
    <x v="4"/>
    <x v="1"/>
    <s v="Økologisk"/>
    <x v="0"/>
    <s v="Grøntsager"/>
    <n v="570.73433994830236"/>
    <n v="6750.3604057385455"/>
    <n v="0"/>
    <n v="6750.3604057385455"/>
  </r>
  <r>
    <x v="1"/>
    <x v="5"/>
    <x v="1"/>
    <s v="Økologisk"/>
    <x v="0"/>
    <s v="Kartofler"/>
    <n v="366.12748029483765"/>
    <n v="8863.3651432073912"/>
    <n v="0"/>
    <n v="8863.3651432073912"/>
  </r>
  <r>
    <x v="1"/>
    <x v="6"/>
    <x v="1"/>
    <s v="Økologisk"/>
    <x v="0"/>
    <s v="Roer"/>
    <n v="3806.1177747553907"/>
    <n v="176278.92454459635"/>
    <n v="0"/>
    <n v="176278.92454459635"/>
  </r>
  <r>
    <x v="1"/>
    <x v="7"/>
    <x v="1"/>
    <s v="Økologisk"/>
    <x v="0"/>
    <s v="Majs"/>
    <n v="1076.511744966979"/>
    <n v="39769.896347838599"/>
    <n v="0"/>
    <n v="39769.896347838599"/>
  </r>
  <r>
    <x v="1"/>
    <x v="8"/>
    <x v="1"/>
    <s v="Økologisk"/>
    <x v="0"/>
    <s v="Frugt"/>
    <n v="250.48407909880524"/>
    <n v="1212.167603982848"/>
    <n v="0"/>
    <n v="1212.167603982848"/>
  </r>
  <r>
    <x v="1"/>
    <x v="9"/>
    <x v="1"/>
    <s v="Økologisk"/>
    <x v="0"/>
    <s v="Øvrige"/>
    <n v="1788.5778124744493"/>
    <n v="30376.64717247595"/>
    <n v="0"/>
    <n v="30376.64717247595"/>
  </r>
  <r>
    <x v="1"/>
    <x v="10"/>
    <x v="1"/>
    <s v="Økologisk"/>
    <x v="0"/>
    <s v="Halm"/>
    <n v="5533.8069983056603"/>
    <n v="45070.924671159679"/>
    <n v="10800.22044245319"/>
    <n v="10800.22044245319"/>
  </r>
  <r>
    <x v="1"/>
    <x v="11"/>
    <x v="1"/>
    <s v="Økologisk"/>
    <x v="0"/>
    <s v="Juletræer"/>
    <n v="392.50712653403053"/>
    <n v="11186.453106219871"/>
    <n v="0"/>
    <n v="11186.453106219871"/>
  </r>
  <r>
    <x v="1"/>
    <x v="12"/>
    <x v="1"/>
    <s v="Økologisk"/>
    <x v="0"/>
    <s v="Pil &amp; poppel"/>
    <n v="186.57278600688875"/>
    <n v="2593.8167810713803"/>
    <n v="0"/>
    <n v="2593.8167810713803"/>
  </r>
  <r>
    <x v="1"/>
    <x v="13"/>
    <x v="1"/>
    <s v="Økologisk"/>
    <x v="0"/>
    <s v="Græs"/>
    <n v="4647.0072428057565"/>
    <n v="64082.229878291386"/>
    <n v="0"/>
    <n v="64082.229878291386"/>
  </r>
  <r>
    <x v="1"/>
    <x v="0"/>
    <x v="2"/>
    <s v="Økologisk"/>
    <x v="0"/>
    <s v="Halm"/>
    <n v="53658.438832916305"/>
    <n v="252017.58966655802"/>
    <n v="143461.01291768815"/>
    <n v="143461.01291768815"/>
  </r>
  <r>
    <x v="1"/>
    <x v="1"/>
    <x v="2"/>
    <s v="Økologisk"/>
    <x v="0"/>
    <s v="Halm"/>
    <n v="1169.4769179456355"/>
    <n v="2573.0831148639872"/>
    <n v="1332.2604448498553"/>
    <n v="1332.2604448498553"/>
  </r>
  <r>
    <x v="1"/>
    <x v="2"/>
    <x v="2"/>
    <s v="Økologisk"/>
    <x v="0"/>
    <s v="Halm"/>
    <n v="7418.4668881686412"/>
    <n v="17952.689869368114"/>
    <n v="16722.930613316399"/>
    <n v="16722.930613316399"/>
  </r>
  <r>
    <x v="1"/>
    <x v="3"/>
    <x v="2"/>
    <s v="Økologisk"/>
    <x v="0"/>
    <s v="Græs"/>
    <n v="4506.9033645354402"/>
    <n v="174433.38505963387"/>
    <n v="0"/>
    <n v="174433.38505963387"/>
  </r>
  <r>
    <x v="1"/>
    <x v="4"/>
    <x v="2"/>
    <s v="Økologisk"/>
    <x v="0"/>
    <s v="Grøntsager"/>
    <n v="706.23293609528866"/>
    <n v="8352.9700516670255"/>
    <n v="0"/>
    <n v="8352.9700516670255"/>
  </r>
  <r>
    <x v="1"/>
    <x v="5"/>
    <x v="2"/>
    <s v="Økologisk"/>
    <x v="0"/>
    <s v="Kartofler"/>
    <n v="453.05016238766149"/>
    <n v="10967.625304163399"/>
    <n v="0"/>
    <n v="10967.625304163399"/>
  </r>
  <r>
    <x v="1"/>
    <x v="6"/>
    <x v="2"/>
    <s v="Økologisk"/>
    <x v="0"/>
    <s v="Roer"/>
    <n v="4709.7319068508268"/>
    <n v="218129.47590314422"/>
    <n v="0"/>
    <n v="218129.47590314422"/>
  </r>
  <r>
    <x v="1"/>
    <x v="7"/>
    <x v="2"/>
    <s v="Økologisk"/>
    <x v="0"/>
    <s v="Majs"/>
    <n v="1332.0874480024415"/>
    <n v="49211.706217788596"/>
    <n v="0"/>
    <n v="49211.706217788596"/>
  </r>
  <r>
    <x v="1"/>
    <x v="8"/>
    <x v="2"/>
    <s v="Økologisk"/>
    <x v="0"/>
    <s v="Frugt"/>
    <n v="309.95174855449835"/>
    <n v="1499.9494967797839"/>
    <n v="0"/>
    <n v="1499.9494967797839"/>
  </r>
  <r>
    <x v="1"/>
    <x v="9"/>
    <x v="2"/>
    <s v="Økologisk"/>
    <x v="0"/>
    <s v="Øvrige"/>
    <n v="2213.2058149035443"/>
    <n v="37588.396596727602"/>
    <n v="0"/>
    <n v="37588.396596727602"/>
  </r>
  <r>
    <x v="1"/>
    <x v="10"/>
    <x v="2"/>
    <s v="Økologisk"/>
    <x v="0"/>
    <s v="Halm"/>
    <n v="6847.5935135637137"/>
    <n v="55771.256844166644"/>
    <n v="16158.951173307649"/>
    <n v="16158.951173307649"/>
  </r>
  <r>
    <x v="1"/>
    <x v="11"/>
    <x v="2"/>
    <s v="Økologisk"/>
    <x v="0"/>
    <s v="Juletræer"/>
    <n v="485.6926261622221"/>
    <n v="13842.23984562333"/>
    <n v="0"/>
    <n v="13842.23984562333"/>
  </r>
  <r>
    <x v="1"/>
    <x v="12"/>
    <x v="2"/>
    <s v="Økologisk"/>
    <x v="0"/>
    <s v="Pil &amp; poppel"/>
    <n v="230.86721305232541"/>
    <n v="3209.6173521908654"/>
    <n v="0"/>
    <n v="3209.6173521908654"/>
  </r>
  <r>
    <x v="1"/>
    <x v="13"/>
    <x v="2"/>
    <s v="Økologisk"/>
    <x v="0"/>
    <s v="Græs"/>
    <n v="5750.2577634281761"/>
    <n v="79296.054557674564"/>
    <n v="0"/>
    <n v="79296.054557674564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153.0281200981244"/>
    <n v="34935.27254626542"/>
    <n v="16447.52631478176"/>
    <n v="16447.52631478176"/>
  </r>
  <r>
    <x v="1"/>
    <x v="1"/>
    <x v="1"/>
    <s v="Konventionel"/>
    <x v="1"/>
    <s v="Halm"/>
    <n v="112.30451890716081"/>
    <n v="520.19453157796886"/>
    <n v="222.75861871719212"/>
    <n v="222.75861871719212"/>
  </r>
  <r>
    <x v="1"/>
    <x v="2"/>
    <x v="1"/>
    <s v="Konventionel"/>
    <x v="1"/>
    <s v="Halm"/>
    <n v="453.61549532985964"/>
    <n v="2395.0898153416592"/>
    <n v="1845.1771937392143"/>
    <n v="1845.1771937392143"/>
  </r>
  <r>
    <x v="1"/>
    <x v="3"/>
    <x v="1"/>
    <s v="Konventionel"/>
    <x v="1"/>
    <s v="Græs"/>
    <n v="1333.8196227610581"/>
    <n v="79420.955617684449"/>
    <n v="0"/>
    <n v="79420.955617684449"/>
  </r>
  <r>
    <x v="1"/>
    <x v="4"/>
    <x v="1"/>
    <s v="Konventionel"/>
    <x v="1"/>
    <s v="Grøntsager"/>
    <n v="25.261099168726226"/>
    <n v="629.00136930128303"/>
    <n v="0"/>
    <n v="629.00136930128303"/>
  </r>
  <r>
    <x v="1"/>
    <x v="5"/>
    <x v="1"/>
    <s v="Konventionel"/>
    <x v="1"/>
    <s v="Kartofler"/>
    <n v="42.946180543416538"/>
    <n v="2188.7554998222508"/>
    <n v="0"/>
    <n v="2188.7554998222508"/>
  </r>
  <r>
    <x v="1"/>
    <x v="6"/>
    <x v="1"/>
    <s v="Konventionel"/>
    <x v="1"/>
    <s v="Roer"/>
    <n v="119.98259301094923"/>
    <n v="11698.840054058643"/>
    <n v="0"/>
    <n v="11698.840054058643"/>
  </r>
  <r>
    <x v="1"/>
    <x v="7"/>
    <x v="1"/>
    <s v="Konventionel"/>
    <x v="1"/>
    <s v="Majs"/>
    <n v="127.91995950888544"/>
    <n v="6832.4608772885904"/>
    <n v="0"/>
    <n v="6832.4608772885904"/>
  </r>
  <r>
    <x v="1"/>
    <x v="8"/>
    <x v="1"/>
    <s v="Konventionel"/>
    <x v="1"/>
    <s v="Frugt"/>
    <n v="27.594964857400839"/>
    <n v="281.13750196719974"/>
    <n v="0"/>
    <n v="281.13750196719974"/>
  </r>
  <r>
    <x v="1"/>
    <x v="9"/>
    <x v="1"/>
    <s v="Konventionel"/>
    <x v="1"/>
    <s v="Øvrige"/>
    <n v="197.0414329626538"/>
    <n v="7045.2424863927736"/>
    <n v="0"/>
    <n v="7045.2424863927736"/>
  </r>
  <r>
    <x v="1"/>
    <x v="10"/>
    <x v="1"/>
    <s v="Konventionel"/>
    <x v="1"/>
    <s v="Halm"/>
    <n v="1430.5114592593595"/>
    <n v="24528.45486746051"/>
    <n v="5877.6854838048575"/>
    <n v="5877.6854838048575"/>
  </r>
  <r>
    <x v="1"/>
    <x v="11"/>
    <x v="1"/>
    <s v="Konventionel"/>
    <x v="1"/>
    <s v="Juletræer"/>
    <n v="43.241152898637949"/>
    <n v="2594.4691739182772"/>
    <n v="0"/>
    <n v="2594.4691739182772"/>
  </r>
  <r>
    <x v="1"/>
    <x v="12"/>
    <x v="1"/>
    <s v="Konventionel"/>
    <x v="1"/>
    <s v="Pil &amp; poppel"/>
    <n v="91.773876584838561"/>
    <n v="2686.0646805318606"/>
    <n v="0"/>
    <n v="2686.0646805318606"/>
  </r>
  <r>
    <x v="1"/>
    <x v="13"/>
    <x v="1"/>
    <s v="Konventionel"/>
    <x v="1"/>
    <s v="Græs"/>
    <n v="2659.7407767838267"/>
    <n v="44013.390374218761"/>
    <n v="0"/>
    <n v="44013.390374218761"/>
  </r>
  <r>
    <x v="1"/>
    <x v="0"/>
    <x v="2"/>
    <s v="Konventionel"/>
    <x v="1"/>
    <s v="Halm"/>
    <n v="3287.676142844382"/>
    <n v="27655.931713606937"/>
    <n v="15743.13912797075"/>
    <n v="15743.13912797075"/>
  </r>
  <r>
    <x v="1"/>
    <x v="1"/>
    <x v="2"/>
    <s v="Konventionel"/>
    <x v="1"/>
    <s v="Halm"/>
    <n v="88.904018192866161"/>
    <n v="411.8034122693561"/>
    <n v="213.21868463998726"/>
    <n v="213.21868463998726"/>
  </r>
  <r>
    <x v="1"/>
    <x v="2"/>
    <x v="2"/>
    <s v="Konventionel"/>
    <x v="1"/>
    <s v="Halm"/>
    <n v="359.09721747448225"/>
    <n v="1896.0333082652662"/>
    <n v="1766.1550266490956"/>
    <n v="1766.1550266490956"/>
  </r>
  <r>
    <x v="1"/>
    <x v="3"/>
    <x v="2"/>
    <s v="Konventionel"/>
    <x v="1"/>
    <s v="Græs"/>
    <n v="1055.8962823747061"/>
    <n v="62872.288237719498"/>
    <n v="0"/>
    <n v="62872.288237719498"/>
  </r>
  <r>
    <x v="1"/>
    <x v="4"/>
    <x v="2"/>
    <s v="Konventionel"/>
    <x v="1"/>
    <s v="Grøntsager"/>
    <n v="19.997532084392677"/>
    <n v="497.93854890137766"/>
    <n v="0"/>
    <n v="497.93854890137766"/>
  </r>
  <r>
    <x v="1"/>
    <x v="5"/>
    <x v="2"/>
    <s v="Konventionel"/>
    <x v="1"/>
    <s v="Kartofler"/>
    <n v="33.997634765724179"/>
    <n v="1732.692154060114"/>
    <n v="0"/>
    <n v="1732.692154060114"/>
  </r>
  <r>
    <x v="1"/>
    <x v="6"/>
    <x v="2"/>
    <s v="Konventionel"/>
    <x v="1"/>
    <s v="Roer"/>
    <n v="94.982238788545629"/>
    <n v="9261.1935754897131"/>
    <n v="0"/>
    <n v="9261.1935754897131"/>
  </r>
  <r>
    <x v="1"/>
    <x v="7"/>
    <x v="2"/>
    <s v="Konventionel"/>
    <x v="1"/>
    <s v="Majs"/>
    <n v="101.26572392701387"/>
    <n v="5408.8048463896648"/>
    <n v="0"/>
    <n v="5408.8048463896648"/>
  </r>
  <r>
    <x v="1"/>
    <x v="8"/>
    <x v="2"/>
    <s v="Konventionel"/>
    <x v="1"/>
    <s v="Frugt"/>
    <n v="21.845098323620871"/>
    <n v="222.55786172104945"/>
    <n v="0"/>
    <n v="222.55786172104945"/>
  </r>
  <r>
    <x v="1"/>
    <x v="9"/>
    <x v="2"/>
    <s v="Konventionel"/>
    <x v="1"/>
    <s v="Øvrige"/>
    <n v="155.98459715892352"/>
    <n v="5577.2498941133799"/>
    <n v="0"/>
    <n v="5577.2498941133799"/>
  </r>
  <r>
    <x v="1"/>
    <x v="10"/>
    <x v="2"/>
    <s v="Konventionel"/>
    <x v="1"/>
    <s v="Halm"/>
    <n v="1132.4407783112672"/>
    <n v="19417.546319594807"/>
    <n v="5625.9657866503758"/>
    <n v="5625.9657866503758"/>
  </r>
  <r>
    <x v="1"/>
    <x v="11"/>
    <x v="2"/>
    <s v="Konventionel"/>
    <x v="1"/>
    <s v="Juletræer"/>
    <n v="34.231144760604046"/>
    <n v="2053.8686856362428"/>
    <n v="0"/>
    <n v="2053.8686856362428"/>
  </r>
  <r>
    <x v="1"/>
    <x v="12"/>
    <x v="2"/>
    <s v="Konventionel"/>
    <x v="1"/>
    <s v="Pil &amp; poppel"/>
    <n v="72.651274168880292"/>
    <n v="2126.3787561623499"/>
    <n v="0"/>
    <n v="2126.3787561623499"/>
  </r>
  <r>
    <x v="1"/>
    <x v="13"/>
    <x v="2"/>
    <s v="Konventionel"/>
    <x v="1"/>
    <s v="Græs"/>
    <n v="2105.5398723801477"/>
    <n v="34842.473808146686"/>
    <n v="0"/>
    <n v="34842.473808146686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48.16045804999635"/>
    <n v="3653.0582679881009"/>
    <n v="1719.8598325687985"/>
    <n v="1719.8598325687985"/>
  </r>
  <r>
    <x v="1"/>
    <x v="1"/>
    <x v="1"/>
    <s v="Økologisk"/>
    <x v="1"/>
    <s v="Halm"/>
    <n v="17.527294858343019"/>
    <n v="46.276264976791566"/>
    <n v="19.816503711315534"/>
    <n v="19.816503711315534"/>
  </r>
  <r>
    <x v="1"/>
    <x v="2"/>
    <x v="1"/>
    <s v="Økologisk"/>
    <x v="1"/>
    <s v="Halm"/>
    <n v="70.795481930093715"/>
    <n v="205.59007952499221"/>
    <n v="158.38659726605397"/>
    <n v="158.38659726605397"/>
  </r>
  <r>
    <x v="1"/>
    <x v="3"/>
    <x v="1"/>
    <s v="Økologisk"/>
    <x v="1"/>
    <s v="Græs"/>
    <n v="208.16838043091659"/>
    <n v="9668.2388746152283"/>
    <n v="0"/>
    <n v="9668.2388746152283"/>
  </r>
  <r>
    <x v="1"/>
    <x v="4"/>
    <x v="1"/>
    <s v="Økologisk"/>
    <x v="1"/>
    <s v="Grøntsager"/>
    <n v="3.9424836852925322"/>
    <n v="55.955670945356907"/>
    <n v="0"/>
    <n v="55.955670945356907"/>
  </r>
  <r>
    <x v="1"/>
    <x v="5"/>
    <x v="1"/>
    <s v="Økologisk"/>
    <x v="1"/>
    <s v="Kartofler"/>
    <n v="6.7025830905910215"/>
    <n v="194.71067712291588"/>
    <n v="0"/>
    <n v="194.71067712291588"/>
  </r>
  <r>
    <x v="1"/>
    <x v="6"/>
    <x v="1"/>
    <s v="Økologisk"/>
    <x v="1"/>
    <s v="Roer"/>
    <n v="18.725607001708841"/>
    <n v="1040.7234013408238"/>
    <n v="0"/>
    <n v="1040.7234013408238"/>
  </r>
  <r>
    <x v="1"/>
    <x v="7"/>
    <x v="1"/>
    <s v="Økologisk"/>
    <x v="1"/>
    <s v="Majs"/>
    <n v="19.964386744161317"/>
    <n v="885.06039456668975"/>
    <n v="0"/>
    <n v="885.06039456668975"/>
  </r>
  <r>
    <x v="1"/>
    <x v="8"/>
    <x v="1"/>
    <s v="Økologisk"/>
    <x v="1"/>
    <s v="Frugt"/>
    <n v="4.3067286193631373"/>
    <n v="25.009862169220838"/>
    <n v="0"/>
    <n v="25.009862169220838"/>
  </r>
  <r>
    <x v="1"/>
    <x v="9"/>
    <x v="1"/>
    <s v="Økologisk"/>
    <x v="1"/>
    <s v="Øvrige"/>
    <n v="30.752131156021115"/>
    <n v="626.7415136739005"/>
    <n v="0"/>
    <n v="626.7415136739005"/>
  </r>
  <r>
    <x v="1"/>
    <x v="10"/>
    <x v="1"/>
    <s v="Økologisk"/>
    <x v="1"/>
    <s v="Halm"/>
    <n v="223.25901387284802"/>
    <n v="2182.0400023711977"/>
    <n v="522.8761826344321"/>
    <n v="522.8761826344321"/>
  </r>
  <r>
    <x v="1"/>
    <x v="11"/>
    <x v="1"/>
    <s v="Økologisk"/>
    <x v="1"/>
    <s v="Juletræer"/>
    <n v="6.74861923851575"/>
    <n v="230.80277795723865"/>
    <n v="0"/>
    <n v="230.80277795723865"/>
  </r>
  <r>
    <x v="1"/>
    <x v="12"/>
    <x v="1"/>
    <s v="Økologisk"/>
    <x v="1"/>
    <s v="Pil &amp; poppel"/>
    <n v="14.323090565263824"/>
    <n v="238.95107186927942"/>
    <n v="0"/>
    <n v="238.95107186927942"/>
  </r>
  <r>
    <x v="1"/>
    <x v="13"/>
    <x v="1"/>
    <s v="Økologisk"/>
    <x v="1"/>
    <s v="Græs"/>
    <n v="415.10405186799608"/>
    <n v="6869.1418503115992"/>
    <n v="0"/>
    <n v="6869.1418503115992"/>
  </r>
  <r>
    <x v="1"/>
    <x v="0"/>
    <x v="2"/>
    <s v="Økologisk"/>
    <x v="1"/>
    <s v="Halm"/>
    <n v="697.38584848214157"/>
    <n v="3930.4945374792887"/>
    <n v="2237.4340154600854"/>
    <n v="2237.4340154600854"/>
  </r>
  <r>
    <x v="1"/>
    <x v="1"/>
    <x v="2"/>
    <s v="Økologisk"/>
    <x v="1"/>
    <s v="Halm"/>
    <n v="18.858428101517063"/>
    <n v="49.790776210749414"/>
    <n v="25.780077324653004"/>
    <n v="25.780077324653004"/>
  </r>
  <r>
    <x v="1"/>
    <x v="2"/>
    <x v="2"/>
    <s v="Økologisk"/>
    <x v="1"/>
    <s v="Halm"/>
    <n v="76.17213704004169"/>
    <n v="221.20388596428108"/>
    <n v="206.05141977572785"/>
    <n v="206.05141977572785"/>
  </r>
  <r>
    <x v="1"/>
    <x v="3"/>
    <x v="2"/>
    <s v="Økologisk"/>
    <x v="1"/>
    <s v="Græs"/>
    <n v="223.97799929160431"/>
    <n v="10402.505872059046"/>
    <n v="0"/>
    <n v="10402.505872059046"/>
  </r>
  <r>
    <x v="1"/>
    <x v="4"/>
    <x v="2"/>
    <s v="Økologisk"/>
    <x v="1"/>
    <s v="Grøntsager"/>
    <n v="4.2419007451742043"/>
    <n v="60.205297276257483"/>
    <n v="0"/>
    <n v="60.205297276257483"/>
  </r>
  <r>
    <x v="1"/>
    <x v="5"/>
    <x v="2"/>
    <s v="Økologisk"/>
    <x v="1"/>
    <s v="Kartofler"/>
    <n v="7.211619495759674"/>
    <n v="209.49823317272285"/>
    <n v="0"/>
    <n v="209.49823317272285"/>
  </r>
  <r>
    <x v="1"/>
    <x v="6"/>
    <x v="2"/>
    <s v="Økologisk"/>
    <x v="1"/>
    <s v="Roer"/>
    <n v="20.147747621812712"/>
    <n v="1119.7624959455745"/>
    <n v="0"/>
    <n v="1119.7624959455745"/>
  </r>
  <r>
    <x v="1"/>
    <x v="7"/>
    <x v="2"/>
    <s v="Økologisk"/>
    <x v="1"/>
    <s v="Majs"/>
    <n v="21.480608105730209"/>
    <n v="952.27745931890752"/>
    <n v="0"/>
    <n v="952.27745931890752"/>
  </r>
  <r>
    <x v="1"/>
    <x v="8"/>
    <x v="2"/>
    <s v="Økologisk"/>
    <x v="1"/>
    <s v="Frugt"/>
    <n v="4.6338087353135169"/>
    <n v="26.909268735363238"/>
    <n v="0"/>
    <n v="26.909268735363238"/>
  </r>
  <r>
    <x v="1"/>
    <x v="9"/>
    <x v="2"/>
    <s v="Økologisk"/>
    <x v="1"/>
    <s v="Øvrige"/>
    <n v="33.087641821589841"/>
    <n v="674.34021447007228"/>
    <n v="0"/>
    <n v="674.34021447007228"/>
  </r>
  <r>
    <x v="1"/>
    <x v="10"/>
    <x v="2"/>
    <s v="Økologisk"/>
    <x v="1"/>
    <s v="Halm"/>
    <n v="240.21471055087486"/>
    <n v="2347.7578731873718"/>
    <n v="680.2304087495454"/>
    <n v="680.2304087495454"/>
  </r>
  <r>
    <x v="1"/>
    <x v="11"/>
    <x v="2"/>
    <s v="Økologisk"/>
    <x v="1"/>
    <s v="Juletræer"/>
    <n v="7.261151918916009"/>
    <n v="248.3313956269275"/>
    <n v="0"/>
    <n v="248.3313956269275"/>
  </r>
  <r>
    <x v="1"/>
    <x v="12"/>
    <x v="2"/>
    <s v="Økologisk"/>
    <x v="1"/>
    <s v="Pil &amp; poppel"/>
    <n v="15.410876338853395"/>
    <n v="257.09852233599321"/>
    <n v="0"/>
    <n v="257.09852233599321"/>
  </r>
  <r>
    <x v="1"/>
    <x v="13"/>
    <x v="2"/>
    <s v="Økologisk"/>
    <x v="1"/>
    <s v="Græs"/>
    <n v="446.6296698988192"/>
    <n v="7390.8277774856606"/>
    <n v="0"/>
    <n v="7390.8277774856606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796.6458108942293"/>
    <n v="17632.281988115963"/>
    <n v="8301.278360004997"/>
    <n v="8301.278360004997"/>
  </r>
  <r>
    <x v="1"/>
    <x v="1"/>
    <x v="1"/>
    <s v="Konventionel"/>
    <x v="2"/>
    <s v="Halm"/>
    <n v="32.633012539823845"/>
    <n v="176.34879976520804"/>
    <n v="75.516393701736789"/>
    <n v="75.516393701736789"/>
  </r>
  <r>
    <x v="1"/>
    <x v="2"/>
    <x v="1"/>
    <s v="Konventionel"/>
    <x v="2"/>
    <s v="Halm"/>
    <n v="159.40463041598321"/>
    <n v="981.93252336245644"/>
    <n v="756.48081599843647"/>
    <n v="756.48081599843647"/>
  </r>
  <r>
    <x v="1"/>
    <x v="3"/>
    <x v="1"/>
    <s v="Konventionel"/>
    <x v="2"/>
    <s v="Græs"/>
    <n v="1171.3986150504631"/>
    <n v="81374.718990325578"/>
    <n v="0"/>
    <n v="81374.718990325578"/>
  </r>
  <r>
    <x v="1"/>
    <x v="4"/>
    <x v="1"/>
    <s v="Konventionel"/>
    <x v="2"/>
    <s v="Grøntsager"/>
    <n v="5.5133034466362671"/>
    <n v="160.16146512478358"/>
    <n v="0"/>
    <n v="160.16146512478358"/>
  </r>
  <r>
    <x v="1"/>
    <x v="5"/>
    <x v="1"/>
    <s v="Konventionel"/>
    <x v="2"/>
    <s v="Kartofler"/>
    <n v="31.425171951535479"/>
    <n v="1868.51744633315"/>
    <n v="0"/>
    <n v="1868.51744633315"/>
  </r>
  <r>
    <x v="1"/>
    <x v="6"/>
    <x v="1"/>
    <s v="Konventionel"/>
    <x v="2"/>
    <s v="Roer"/>
    <n v="36.188775432258431"/>
    <n v="4116.6622512612066"/>
    <n v="0"/>
    <n v="4116.6622512612066"/>
  </r>
  <r>
    <x v="1"/>
    <x v="7"/>
    <x v="1"/>
    <s v="Konventionel"/>
    <x v="2"/>
    <s v="Majs"/>
    <n v="37.170486845663731"/>
    <n v="2316.2417173006897"/>
    <n v="0"/>
    <n v="2316.2417173006897"/>
  </r>
  <r>
    <x v="1"/>
    <x v="8"/>
    <x v="1"/>
    <s v="Konventionel"/>
    <x v="2"/>
    <s v="Frugt"/>
    <n v="13.488257970641145"/>
    <n v="160.32143423904066"/>
    <n v="0"/>
    <n v="160.32143423904066"/>
  </r>
  <r>
    <x v="1"/>
    <x v="9"/>
    <x v="1"/>
    <s v="Konventionel"/>
    <x v="2"/>
    <s v="Øvrige"/>
    <n v="96.312703873303633"/>
    <n v="4017.6190372214837"/>
    <n v="0"/>
    <n v="4017.6190372214837"/>
  </r>
  <r>
    <x v="1"/>
    <x v="10"/>
    <x v="1"/>
    <s v="Konventionel"/>
    <x v="2"/>
    <s v="Halm"/>
    <n v="901.3113802822603"/>
    <n v="18030.197939320373"/>
    <n v="4320.5262325210433"/>
    <n v="4320.5262325210433"/>
  </r>
  <r>
    <x v="1"/>
    <x v="11"/>
    <x v="1"/>
    <s v="Konventionel"/>
    <x v="2"/>
    <s v="Juletræer"/>
    <n v="21.136023483224019"/>
    <n v="1479.5216438256814"/>
    <n v="0"/>
    <n v="1479.5216438256814"/>
  </r>
  <r>
    <x v="1"/>
    <x v="12"/>
    <x v="1"/>
    <s v="Konventionel"/>
    <x v="2"/>
    <s v="Pil &amp; poppel"/>
    <n v="64.473732983194068"/>
    <n v="2201.5421018651632"/>
    <n v="0"/>
    <n v="2201.5421018651632"/>
  </r>
  <r>
    <x v="1"/>
    <x v="13"/>
    <x v="1"/>
    <s v="Konventionel"/>
    <x v="2"/>
    <s v="Græs"/>
    <n v="2242.1606682189854"/>
    <n v="43287.153860635735"/>
    <n v="0"/>
    <n v="43287.153860635735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80.40136933031323"/>
    <n v="1843.7455558671547"/>
    <n v="868.03540770225663"/>
    <n v="868.03540770225663"/>
  </r>
  <r>
    <x v="1"/>
    <x v="1"/>
    <x v="1"/>
    <s v="Økologisk"/>
    <x v="2"/>
    <s v="Halm"/>
    <n v="5.0930135177759759"/>
    <n v="15.687907678534982"/>
    <n v="6.7179034628308036"/>
    <n v="6.7179034628308036"/>
  </r>
  <r>
    <x v="1"/>
    <x v="2"/>
    <x v="1"/>
    <s v="Økologisk"/>
    <x v="2"/>
    <s v="Halm"/>
    <n v="24.878179313477148"/>
    <n v="84.287271514060578"/>
    <n v="64.934913974432277"/>
    <n v="64.934913974432277"/>
  </r>
  <r>
    <x v="1"/>
    <x v="3"/>
    <x v="1"/>
    <s v="Økologisk"/>
    <x v="2"/>
    <s v="Græs"/>
    <n v="182.81943703099714"/>
    <n v="9906.0785083020619"/>
    <n v="0"/>
    <n v="9906.0785083020619"/>
  </r>
  <r>
    <x v="1"/>
    <x v="4"/>
    <x v="1"/>
    <s v="Økologisk"/>
    <x v="2"/>
    <s v="Grøntsager"/>
    <n v="0.86045776334785684"/>
    <n v="14.247889874395483"/>
    <n v="0"/>
    <n v="14.247889874395483"/>
  </r>
  <r>
    <x v="1"/>
    <x v="5"/>
    <x v="1"/>
    <s v="Økologisk"/>
    <x v="2"/>
    <s v="Kartofler"/>
    <n v="4.9045066051529362"/>
    <n v="166.22244797148659"/>
    <n v="0"/>
    <n v="166.22244797148659"/>
  </r>
  <r>
    <x v="1"/>
    <x v="6"/>
    <x v="1"/>
    <s v="Økologisk"/>
    <x v="2"/>
    <s v="Roer"/>
    <n v="5.6479591715085418"/>
    <n v="366.21637021335238"/>
    <n v="0"/>
    <n v="366.21637021335238"/>
  </r>
  <r>
    <x v="1"/>
    <x v="7"/>
    <x v="1"/>
    <s v="Økologisk"/>
    <x v="2"/>
    <s v="Majs"/>
    <n v="5.8011742475891381"/>
    <n v="300.04032881334371"/>
    <n v="0"/>
    <n v="300.04032881334371"/>
  </r>
  <r>
    <x v="1"/>
    <x v="8"/>
    <x v="1"/>
    <s v="Økologisk"/>
    <x v="2"/>
    <s v="Frugt"/>
    <n v="2.1051038451289652"/>
    <n v="14.262120652825642"/>
    <n v="0"/>
    <n v="14.262120652825642"/>
  </r>
  <r>
    <x v="1"/>
    <x v="9"/>
    <x v="1"/>
    <s v="Økologisk"/>
    <x v="2"/>
    <s v="Øvrige"/>
    <n v="15.031462454215021"/>
    <n v="357.40553169270896"/>
    <n v="0"/>
    <n v="357.40553169270896"/>
  </r>
  <r>
    <x v="1"/>
    <x v="10"/>
    <x v="1"/>
    <s v="Økologisk"/>
    <x v="2"/>
    <s v="Halm"/>
    <n v="140.66709403249149"/>
    <n v="1603.9580710181533"/>
    <n v="384.35201571386625"/>
    <n v="384.35201571386625"/>
  </r>
  <r>
    <x v="1"/>
    <x v="11"/>
    <x v="1"/>
    <s v="Økologisk"/>
    <x v="2"/>
    <s v="Juletræer"/>
    <n v="3.2986857459366963"/>
    <n v="131.61756126287418"/>
    <n v="0"/>
    <n v="131.61756126287418"/>
  </r>
  <r>
    <x v="1"/>
    <x v="12"/>
    <x v="1"/>
    <s v="Økologisk"/>
    <x v="2"/>
    <s v="Pil &amp; poppel"/>
    <n v="10.062374511827977"/>
    <n v="195.84816732777378"/>
    <n v="0"/>
    <n v="195.84816732777378"/>
  </r>
  <r>
    <x v="1"/>
    <x v="13"/>
    <x v="1"/>
    <s v="Økologisk"/>
    <x v="2"/>
    <s v="Græs"/>
    <n v="349.9325898376452"/>
    <n v="6755.7985794055785"/>
    <n v="0"/>
    <n v="6755.7985794055785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264281.48271181755"/>
    <n v="62908.541627737373"/>
    <n v="0"/>
    <n v="0"/>
    <n v="0"/>
    <n v="0"/>
    <n v="0"/>
    <n v="0"/>
    <n v="201372.94108408017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  <x v="0"/>
  </r>
  <r>
    <x v="4"/>
    <s v=""/>
    <n v="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n v="1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  <x v="0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n v="1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  <x v="0"/>
  </r>
  <r>
    <x v="20"/>
    <s v=""/>
    <n v="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  <x v="0"/>
  </r>
  <r>
    <x v="23"/>
    <s v=""/>
    <n v="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  <x v="0"/>
  </r>
  <r>
    <x v="27"/>
    <s v=""/>
    <n v="0"/>
    <n v="1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  <x v="0"/>
  </r>
  <r>
    <x v="38"/>
    <s v="Græs og urter"/>
    <n v="1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  <x v="0"/>
  </r>
  <r>
    <x v="39"/>
    <s v=""/>
    <n v="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n v="0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  <x v="0"/>
  </r>
  <r>
    <x v="43"/>
    <s v=""/>
    <n v="0"/>
    <n v="1"/>
    <x v="1"/>
    <s v="Vestdanmark"/>
    <n v="1329115.7893830882"/>
    <n v="0"/>
    <n v="0"/>
    <n v="121875.54404868034"/>
    <n v="0"/>
    <n v="0"/>
    <n v="0"/>
    <n v="0"/>
    <n v="1207240.2453344078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x v="0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250215.04217969507"/>
    <n v="60017.752814183521"/>
    <n v="0"/>
    <n v="0"/>
    <n v="0"/>
    <n v="0"/>
    <n v="0"/>
    <n v="0"/>
    <n v="190197.28936551156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  <x v="0"/>
  </r>
  <r>
    <x v="4"/>
    <s v=""/>
    <n v="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n v="1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  <x v="1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  <x v="0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n v="1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  <x v="0"/>
  </r>
  <r>
    <x v="20"/>
    <s v=""/>
    <n v="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  <x v="0"/>
  </r>
  <r>
    <x v="23"/>
    <s v=""/>
    <n v="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  <x v="0"/>
  </r>
  <r>
    <x v="27"/>
    <s v=""/>
    <n v="0"/>
    <n v="1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  <x v="0"/>
  </r>
  <r>
    <x v="38"/>
    <s v="Græs og urter"/>
    <n v="1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  <x v="0"/>
  </r>
  <r>
    <x v="39"/>
    <s v=""/>
    <n v="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x v="0"/>
  </r>
  <r>
    <x v="42"/>
    <s v="Husdyrgødning"/>
    <n v="1"/>
    <n v="0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  <x v="0"/>
  </r>
  <r>
    <x v="43"/>
    <s v=""/>
    <n v="0"/>
    <n v="1"/>
    <x v="2"/>
    <s v="Vestdanmark"/>
    <n v="1206135.7873952007"/>
    <n v="0"/>
    <n v="0"/>
    <n v="126627.09194270898"/>
    <n v="0"/>
    <n v="0"/>
    <n v="0"/>
    <n v="0"/>
    <n v="1079508.6954524918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x v="0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8047.573536439377"/>
    <n v="7686.2399260183547"/>
    <n v="0"/>
    <n v="0"/>
    <n v="0"/>
    <n v="0"/>
    <n v="0"/>
    <n v="0"/>
    <n v="20361.333610421021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  <x v="0"/>
  </r>
  <r>
    <x v="4"/>
    <s v=""/>
    <n v="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n v="1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  <x v="0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n v="1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  <x v="0"/>
  </r>
  <r>
    <x v="20"/>
    <s v=""/>
    <n v="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  <x v="0"/>
  </r>
  <r>
    <x v="23"/>
    <s v=""/>
    <n v="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  <x v="0"/>
  </r>
  <r>
    <x v="27"/>
    <s v=""/>
    <n v="0"/>
    <n v="1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  <x v="0"/>
  </r>
  <r>
    <x v="38"/>
    <s v="Græs og urter"/>
    <n v="1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  <x v="0"/>
  </r>
  <r>
    <x v="39"/>
    <s v=""/>
    <n v="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n v="0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  <x v="0"/>
  </r>
  <r>
    <x v="43"/>
    <s v=""/>
    <n v="0"/>
    <n v="1"/>
    <x v="1"/>
    <s v="Østdanmark"/>
    <n v="192585.04353697354"/>
    <n v="0"/>
    <n v="0"/>
    <n v="105526.43984954793"/>
    <n v="0"/>
    <n v="0"/>
    <n v="0"/>
    <n v="0"/>
    <n v="87058.60368742561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x v="0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7963.188224431749"/>
    <n v="7267.3729665242781"/>
    <n v="0"/>
    <n v="0"/>
    <n v="0"/>
    <n v="0"/>
    <n v="0"/>
    <n v="0"/>
    <n v="20695.81525790747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  <x v="0"/>
  </r>
  <r>
    <x v="4"/>
    <s v=""/>
    <n v="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n v="1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  <x v="1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  <x v="0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n v="1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  <x v="0"/>
  </r>
  <r>
    <x v="20"/>
    <s v=""/>
    <n v="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  <x v="0"/>
  </r>
  <r>
    <x v="23"/>
    <s v=""/>
    <n v="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  <x v="0"/>
  </r>
  <r>
    <x v="27"/>
    <s v=""/>
    <n v="0"/>
    <n v="1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  <x v="0"/>
  </r>
  <r>
    <x v="38"/>
    <s v="Græs og urter"/>
    <n v="1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  <x v="0"/>
  </r>
  <r>
    <x v="39"/>
    <s v=""/>
    <n v="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x v="0"/>
  </r>
  <r>
    <x v="42"/>
    <s v="Husdyrgødning"/>
    <n v="1"/>
    <n v="0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  <x v="0"/>
  </r>
  <r>
    <x v="43"/>
    <s v=""/>
    <n v="0"/>
    <n v="1"/>
    <x v="2"/>
    <s v="Østdanmark"/>
    <n v="174765.59603194657"/>
    <n v="0"/>
    <n v="0"/>
    <n v="110474.29755686472"/>
    <n v="0"/>
    <n v="0"/>
    <n v="0"/>
    <n v="0"/>
    <n v="64291.298475081843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x v="0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264281.48271181755"/>
    <n v="62908.541627737373"/>
    <n v="0"/>
    <n v="0"/>
    <n v="0"/>
    <n v="0"/>
    <n v="0"/>
    <n v="0"/>
    <n v="201372.9410840801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  <n v="0"/>
    <x v="1"/>
  </r>
  <r>
    <x v="4"/>
    <s v=""/>
    <n v="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  <n v="0"/>
    <x v="0"/>
  </r>
  <r>
    <x v="7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n v="1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  <n v="0"/>
    <x v="0"/>
  </r>
  <r>
    <x v="14"/>
    <s v="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  <n v="0"/>
    <x v="1"/>
  </r>
  <r>
    <x v="17"/>
    <s v="Bionedbrydeligt affald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n v="1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  <n v="0"/>
    <x v="0"/>
  </r>
  <r>
    <x v="20"/>
    <s v=""/>
    <n v="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  <n v="0"/>
    <x v="0"/>
  </r>
  <r>
    <x v="23"/>
    <s v=""/>
    <n v="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  <n v="0"/>
    <x v="0"/>
  </r>
  <r>
    <x v="27"/>
    <s v=""/>
    <n v="0"/>
    <n v="1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  <n v="0"/>
    <x v="1"/>
  </r>
  <r>
    <x v="38"/>
    <s v="Græs og urter"/>
    <n v="1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  <n v="0"/>
    <x v="0"/>
  </r>
  <r>
    <x v="39"/>
    <s v=""/>
    <n v="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n v="0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  <n v="0"/>
    <x v="1"/>
  </r>
  <r>
    <x v="43"/>
    <s v=""/>
    <n v="0"/>
    <n v="1"/>
    <x v="1"/>
    <s v="Vestdanmark"/>
    <n v="1329115.7893830882"/>
    <n v="0"/>
    <n v="0"/>
    <n v="121875.54404868034"/>
    <n v="0"/>
    <n v="0"/>
    <n v="0"/>
    <n v="0"/>
    <n v="1207240.2453344078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  <n v="0"/>
    <x v="1"/>
  </r>
  <r>
    <x v="47"/>
    <s v="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250215.04217969507"/>
    <n v="60017.752814183521"/>
    <n v="0"/>
    <n v="0"/>
    <n v="0"/>
    <n v="0"/>
    <n v="0"/>
    <n v="0"/>
    <n v="190197.28936551156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  <n v="0"/>
    <x v="1"/>
  </r>
  <r>
    <x v="4"/>
    <s v=""/>
    <n v="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  <n v="0"/>
    <x v="0"/>
  </r>
  <r>
    <x v="7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n v="1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  <n v="0"/>
    <x v="0"/>
  </r>
  <r>
    <x v="14"/>
    <s v="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  <n v="0"/>
    <x v="1"/>
  </r>
  <r>
    <x v="17"/>
    <s v="Bionedbrydeligt affald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n v="1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  <n v="0"/>
    <x v="0"/>
  </r>
  <r>
    <x v="20"/>
    <s v=""/>
    <n v="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  <n v="0"/>
    <x v="0"/>
  </r>
  <r>
    <x v="23"/>
    <s v=""/>
    <n v="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  <n v="0"/>
    <x v="0"/>
  </r>
  <r>
    <x v="27"/>
    <s v=""/>
    <n v="0"/>
    <n v="1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  <n v="0"/>
    <x v="1"/>
  </r>
  <r>
    <x v="38"/>
    <s v="Græs og urter"/>
    <n v="1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  <n v="0"/>
    <x v="0"/>
  </r>
  <r>
    <x v="39"/>
    <s v=""/>
    <n v="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n v="0"/>
    <x v="0"/>
  </r>
  <r>
    <x v="42"/>
    <s v="Husdyrgødning"/>
    <n v="1"/>
    <n v="0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  <n v="0"/>
    <x v="1"/>
  </r>
  <r>
    <x v="43"/>
    <s v=""/>
    <n v="0"/>
    <n v="1"/>
    <x v="2"/>
    <s v="Vestdanmark"/>
    <n v="1206135.7873952007"/>
    <n v="0"/>
    <n v="0"/>
    <n v="126627.09194270898"/>
    <n v="0"/>
    <n v="0"/>
    <n v="0"/>
    <n v="0"/>
    <n v="1079508.6954524918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  <n v="0"/>
    <x v="1"/>
  </r>
  <r>
    <x v="47"/>
    <s v="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28047.573536439377"/>
    <n v="7686.2399260183547"/>
    <n v="0"/>
    <n v="0"/>
    <n v="0"/>
    <n v="0"/>
    <n v="0"/>
    <n v="0"/>
    <n v="20361.333610421021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  <n v="0"/>
    <x v="1"/>
  </r>
  <r>
    <x v="4"/>
    <s v=""/>
    <n v="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  <n v="0"/>
    <x v="0"/>
  </r>
  <r>
    <x v="7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n v="1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  <n v="0"/>
    <x v="0"/>
  </r>
  <r>
    <x v="14"/>
    <s v="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  <n v="0"/>
    <x v="1"/>
  </r>
  <r>
    <x v="17"/>
    <s v="Bionedbrydeligt affald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n v="1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  <n v="0"/>
    <x v="0"/>
  </r>
  <r>
    <x v="20"/>
    <s v=""/>
    <n v="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  <n v="0"/>
    <x v="0"/>
  </r>
  <r>
    <x v="23"/>
    <s v=""/>
    <n v="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  <n v="0"/>
    <x v="0"/>
  </r>
  <r>
    <x v="27"/>
    <s v=""/>
    <n v="0"/>
    <n v="1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  <n v="0"/>
    <x v="1"/>
  </r>
  <r>
    <x v="38"/>
    <s v="Græs og urter"/>
    <n v="1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  <n v="0"/>
    <x v="0"/>
  </r>
  <r>
    <x v="39"/>
    <s v=""/>
    <n v="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n v="0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  <n v="0"/>
    <x v="1"/>
  </r>
  <r>
    <x v="43"/>
    <s v=""/>
    <n v="0"/>
    <n v="1"/>
    <x v="1"/>
    <s v="Østdanmark"/>
    <n v="192585.04353697354"/>
    <n v="0"/>
    <n v="0"/>
    <n v="105526.43984954793"/>
    <n v="0"/>
    <n v="0"/>
    <n v="0"/>
    <n v="0"/>
    <n v="87058.60368742561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  <n v="0"/>
    <x v="1"/>
  </r>
  <r>
    <x v="47"/>
    <s v="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7963.188224431749"/>
    <n v="7267.3729665242781"/>
    <n v="0"/>
    <n v="0"/>
    <n v="0"/>
    <n v="0"/>
    <n v="0"/>
    <n v="0"/>
    <n v="20695.8152579074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  <n v="0"/>
    <x v="1"/>
  </r>
  <r>
    <x v="4"/>
    <s v=""/>
    <n v="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  <n v="0"/>
    <x v="0"/>
  </r>
  <r>
    <x v="7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n v="1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  <n v="0"/>
    <x v="0"/>
  </r>
  <r>
    <x v="14"/>
    <s v="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  <n v="0"/>
    <x v="1"/>
  </r>
  <r>
    <x v="17"/>
    <s v="Bionedbrydeligt affald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n v="1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  <n v="0"/>
    <x v="0"/>
  </r>
  <r>
    <x v="20"/>
    <s v=""/>
    <n v="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  <n v="0"/>
    <x v="0"/>
  </r>
  <r>
    <x v="23"/>
    <s v=""/>
    <n v="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  <n v="0"/>
    <x v="0"/>
  </r>
  <r>
    <x v="27"/>
    <s v=""/>
    <n v="0"/>
    <n v="1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  <n v="0"/>
    <x v="1"/>
  </r>
  <r>
    <x v="38"/>
    <s v="Græs og urter"/>
    <n v="1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  <n v="0"/>
    <x v="0"/>
  </r>
  <r>
    <x v="39"/>
    <s v=""/>
    <n v="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n v="0"/>
    <x v="0"/>
  </r>
  <r>
    <x v="42"/>
    <s v="Husdyrgødning"/>
    <n v="1"/>
    <n v="0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  <n v="0"/>
    <x v="1"/>
  </r>
  <r>
    <x v="43"/>
    <s v=""/>
    <n v="0"/>
    <n v="1"/>
    <x v="2"/>
    <s v="Østdanmark"/>
    <n v="174765.59603194657"/>
    <n v="0"/>
    <n v="0"/>
    <n v="110474.29755686472"/>
    <n v="0"/>
    <n v="0"/>
    <n v="0"/>
    <n v="0"/>
    <n v="64291.298475081843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  <n v="0"/>
    <x v="1"/>
  </r>
  <r>
    <x v="47"/>
    <s v="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973918.4318741746"/>
    <s v="CO2 - atmosfære"/>
    <x v="0"/>
  </r>
  <r>
    <s v="Vestdanmark"/>
    <x v="1"/>
    <n v="5015258.8213962922"/>
    <s v="Landbrug"/>
    <x v="1"/>
  </r>
  <r>
    <s v="Vestdanmark"/>
    <x v="1"/>
    <n v="4043577.2436277913"/>
    <s v="Landbrug"/>
    <x v="2"/>
  </r>
  <r>
    <s v="Vestdanmark"/>
    <x v="1"/>
    <n v="1202420.0951645882"/>
    <s v="Landbrug"/>
    <x v="2"/>
  </r>
  <r>
    <s v="Vestdanmark"/>
    <x v="1"/>
    <n v="1839084.3419425203"/>
    <s v="Landbrug"/>
    <x v="2"/>
  </r>
  <r>
    <s v="Vestdanmark"/>
    <x v="1"/>
    <n v="-158.24317477886137"/>
    <s v="Hav"/>
    <x v="3"/>
  </r>
  <r>
    <s v="Vestdanmark"/>
    <x v="1"/>
    <n v="-1228033.747647149"/>
    <s v="Skov"/>
    <x v="4"/>
  </r>
  <r>
    <s v="Vestdanmark"/>
    <x v="1"/>
    <n v="-472893.63203247666"/>
    <s v="HWP"/>
    <x v="5"/>
  </r>
  <r>
    <s v="Vestdanmark"/>
    <x v="1"/>
    <n v="-425336.4474026151"/>
    <s v="Biogasanlæg"/>
    <x v="6"/>
  </r>
  <r>
    <s v="Vestdanmark"/>
    <x v="1"/>
    <n v="0"/>
    <s v="Pyrolyseproces"/>
    <x v="7"/>
  </r>
  <r>
    <s v="Vestdanmark"/>
    <x v="2"/>
    <n v="5105512.731170225"/>
    <s v="CO2 - atmosfære"/>
    <x v="0"/>
  </r>
  <r>
    <s v="Vestdanmark"/>
    <x v="2"/>
    <n v="4915706.8925452614"/>
    <s v="Landbrug"/>
    <x v="1"/>
  </r>
  <r>
    <s v="Vestdanmark"/>
    <x v="2"/>
    <n v="3681930.3741319757"/>
    <s v="Landbrug"/>
    <x v="2"/>
  </r>
  <r>
    <s v="Vestdanmark"/>
    <x v="2"/>
    <n v="998027.58022386348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887651.1003491962"/>
    <s v="Skov"/>
    <x v="4"/>
  </r>
  <r>
    <s v="Vestdanmark"/>
    <x v="2"/>
    <n v="-1116274.2073436431"/>
    <s v="HWP"/>
    <x v="5"/>
  </r>
  <r>
    <s v="Vestdanmark"/>
    <x v="2"/>
    <n v="-486068.56486325985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62041.497231198"/>
    <s v="CO2 - atmosfære"/>
    <x v="0"/>
  </r>
  <r>
    <s v="Østdanmark"/>
    <x v="1"/>
    <n v="442867.88660548098"/>
    <s v="Landbrug"/>
    <x v="1"/>
  </r>
  <r>
    <s v="Østdanmark"/>
    <x v="1"/>
    <n v="1211586.3086878173"/>
    <s v="Landbrug"/>
    <x v="2"/>
  </r>
  <r>
    <s v="Østdanmark"/>
    <x v="1"/>
    <n v="182621.40301891766"/>
    <s v="Landbrug"/>
    <x v="2"/>
  </r>
  <r>
    <s v="Østdanmark"/>
    <x v="1"/>
    <n v="279204.42809339461"/>
    <s v="Landbrug"/>
    <x v="2"/>
  </r>
  <r>
    <s v="Østdanmark"/>
    <x v="1"/>
    <n v="-0.19402522113858015"/>
    <s v="Hav"/>
    <x v="3"/>
  </r>
  <r>
    <s v="Østdanmark"/>
    <x v="1"/>
    <n v="-278201.85046482197"/>
    <s v="Skov"/>
    <x v="4"/>
  </r>
  <r>
    <s v="Østdanmark"/>
    <x v="1"/>
    <n v="-135559.93500491785"/>
    <s v="HWP"/>
    <x v="5"/>
  </r>
  <r>
    <s v="Østdanmark"/>
    <x v="1"/>
    <n v="-40476.549679451244"/>
    <s v="Biogasanlæg"/>
    <x v="6"/>
  </r>
  <r>
    <s v="Østdanmark"/>
    <x v="1"/>
    <n v="0"/>
    <s v="Pyrolyseproces"/>
    <x v="7"/>
  </r>
  <r>
    <s v="Østdanmark"/>
    <x v="2"/>
    <n v="876792.29648718657"/>
    <s v="CO2 - atmosfære"/>
    <x v="0"/>
  </r>
  <r>
    <s v="Østdanmark"/>
    <x v="2"/>
    <n v="430346.04833642254"/>
    <s v="Landbrug"/>
    <x v="1"/>
  </r>
  <r>
    <s v="Østdanmark"/>
    <x v="2"/>
    <n v="1156544.5871639531"/>
    <s v="Landbrug"/>
    <x v="2"/>
  </r>
  <r>
    <s v="Østdanmark"/>
    <x v="2"/>
    <n v="151578.63519164603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65732.58937917813"/>
    <s v="Skov"/>
    <x v="4"/>
  </r>
  <r>
    <s v="Østdanmark"/>
    <x v="2"/>
    <n v="-250413.3836601582"/>
    <s v="HWP"/>
    <x v="5"/>
  </r>
  <r>
    <s v="Østdanmark"/>
    <x v="2"/>
    <n v="-45530.807140277917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n v="1"/>
    <x v="1"/>
    <s v="Vestdanmark"/>
    <n v="264281.48271181755"/>
    <n v="62908.541627737373"/>
    <n v="0"/>
    <n v="0"/>
    <n v="0"/>
    <n v="0"/>
    <n v="0"/>
    <n v="0"/>
    <n v="201372.94108408017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492782535.68274039"/>
    <n v="0"/>
    <n v="0"/>
    <n v="0"/>
    <n v="0"/>
    <n v="0"/>
    <n v="492782535.68274039"/>
    <n v="0"/>
    <n v="0"/>
    <n v="0"/>
    <n v="492782535.68274039"/>
    <n v="0"/>
    <n v="0"/>
    <n v="0"/>
    <n v="0"/>
    <n v="0"/>
    <n v="0"/>
    <n v="0"/>
    <n v="0"/>
  </r>
  <r>
    <x v="4"/>
    <x v="10"/>
    <n v="0"/>
    <n v="0"/>
    <x v="1"/>
    <s v="Vestdanmark"/>
    <n v="23970432.839117184"/>
    <n v="0"/>
    <n v="0"/>
    <n v="0"/>
    <n v="0"/>
    <n v="19339631.292659696"/>
    <n v="0"/>
    <n v="0"/>
    <n v="4630801.5464574881"/>
    <n v="0"/>
    <n v="0"/>
    <n v="0"/>
    <n v="0"/>
    <n v="0"/>
    <n v="0"/>
    <n v="0"/>
    <n v="0"/>
    <n v="0"/>
    <n v="0"/>
  </r>
  <r>
    <x v="5"/>
    <x v="1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Vestdanmark"/>
    <n v="2572334.3954420607"/>
    <n v="0"/>
    <n v="0"/>
    <n v="0"/>
    <n v="1929250.7965815454"/>
    <n v="243453.07671148074"/>
    <n v="0"/>
    <n v="0"/>
    <n v="399630.52214903431"/>
    <n v="399630.52214903431"/>
    <n v="1929250.7965815454"/>
    <n v="0.86080414470901989"/>
    <n v="5.0164103605456685"/>
    <n v="4.1556062158366487"/>
    <n v="0.86080414470901978"/>
    <n v="119889.15664471028"/>
    <n v="698664.39561917388"/>
    <n v="578775.23897446354"/>
    <n v="119889.15664471034"/>
  </r>
  <r>
    <x v="7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n v="1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n v="0"/>
    <x v="1"/>
    <s v="Vestdanmark"/>
    <n v="896684.85799615958"/>
    <n v="0"/>
    <n v="0"/>
    <n v="0"/>
    <n v="0"/>
    <n v="0"/>
    <n v="0"/>
    <n v="0"/>
    <n v="896684.85799615958"/>
    <n v="0"/>
    <n v="0"/>
    <n v="0"/>
    <n v="0"/>
    <n v="0"/>
    <n v="0"/>
    <n v="0"/>
    <n v="0"/>
    <n v="0"/>
    <n v="0"/>
  </r>
  <r>
    <x v="11"/>
    <x v="10"/>
    <n v="0"/>
    <n v="1"/>
    <x v="1"/>
    <s v="Vestdanmark"/>
    <n v="26490.425666789368"/>
    <n v="0"/>
    <n v="0"/>
    <n v="257923.29437791562"/>
    <n v="0"/>
    <n v="0"/>
    <n v="0"/>
    <n v="0"/>
    <n v="-231432.86871112624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1"/>
    <s v="Vestdanmark"/>
    <n v="15769668.337175274"/>
    <n v="11936022.044118334"/>
    <n v="0"/>
    <n v="0"/>
    <n v="0"/>
    <n v="0"/>
    <n v="0"/>
    <n v="0"/>
    <n v="3833646.2930569407"/>
    <n v="3833646.2930569407"/>
    <n v="0"/>
    <n v="7.0534299734381394"/>
    <n v="7.0534299734381394"/>
    <n v="0"/>
    <n v="7.0534299734381394"/>
    <n v="1073420.9620559434"/>
    <n v="1073420.9620559434"/>
    <n v="0"/>
    <n v="1073420.9620559434"/>
  </r>
  <r>
    <x v="14"/>
    <x v="10"/>
    <n v="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89947.9283403279"/>
    <n v="0"/>
    <n v="0"/>
    <n v="270140.71358529059"/>
    <n v="0"/>
    <n v="0"/>
    <n v="0"/>
    <n v="0"/>
    <n v="-80192.785244962695"/>
    <n v="0"/>
    <n v="0"/>
    <n v="0"/>
    <n v="0"/>
    <n v="0"/>
    <n v="0"/>
    <n v="0"/>
    <n v="0"/>
    <n v="0"/>
    <n v="0"/>
  </r>
  <r>
    <x v="16"/>
    <x v="5"/>
    <n v="1"/>
    <n v="0"/>
    <x v="1"/>
    <s v="Vestdanmark"/>
    <n v="3749912.1092935386"/>
    <n v="754028.76978801878"/>
    <n v="702117.72064633376"/>
    <n v="0"/>
    <n v="0"/>
    <n v="0"/>
    <n v="2293765.6188591849"/>
    <n v="0"/>
    <n v="0"/>
    <n v="0"/>
    <n v="2293765.6188591849"/>
    <n v="0"/>
    <n v="23.707917223893222"/>
    <n v="0"/>
    <n v="23.707917223893222"/>
    <n v="0"/>
    <n v="1949700.7760303072"/>
    <n v="0"/>
    <n v="1949700.7760303072"/>
  </r>
  <r>
    <x v="17"/>
    <x v="1"/>
    <n v="1"/>
    <n v="0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n v="1"/>
    <x v="1"/>
    <s v="Vestdanmark"/>
    <n v="0"/>
    <n v="4709403.3246320067"/>
    <n v="0"/>
    <n v="0"/>
    <n v="0"/>
    <n v="0"/>
    <n v="0"/>
    <n v="0"/>
    <n v="-4709403.3246320067"/>
    <n v="0"/>
    <n v="0"/>
    <n v="0"/>
    <n v="0"/>
    <n v="0"/>
    <n v="0"/>
    <n v="0"/>
    <n v="0"/>
    <n v="0"/>
    <n v="0"/>
  </r>
  <r>
    <x v="19"/>
    <x v="1"/>
    <n v="1"/>
    <n v="0"/>
    <x v="1"/>
    <s v="Vestdanmark"/>
    <n v="516148.16711972357"/>
    <n v="0"/>
    <n v="0"/>
    <n v="0"/>
    <n v="0"/>
    <n v="0"/>
    <n v="0"/>
    <n v="0"/>
    <n v="516148.16711972357"/>
    <n v="516148.16711972357"/>
    <n v="0"/>
    <n v="2.2365371073914879"/>
    <n v="2.2365371073914879"/>
    <n v="0"/>
    <n v="2.2365371073914879"/>
    <n v="216782.23019028388"/>
    <n v="216782.23019028388"/>
    <n v="0"/>
    <n v="216782.23019028388"/>
  </r>
  <r>
    <x v="20"/>
    <x v="10"/>
    <n v="0"/>
    <n v="0"/>
    <x v="1"/>
    <s v="Vestdanmark"/>
    <n v="782472.88933192089"/>
    <n v="0"/>
    <n v="0"/>
    <n v="0"/>
    <n v="0"/>
    <n v="0"/>
    <n v="0"/>
    <n v="0"/>
    <n v="782472.88933192089"/>
    <n v="0"/>
    <n v="0"/>
    <n v="0"/>
    <n v="0"/>
    <n v="0"/>
    <n v="0"/>
    <n v="0"/>
    <n v="0"/>
    <n v="0"/>
    <n v="0"/>
  </r>
  <r>
    <x v="21"/>
    <x v="10"/>
    <n v="0"/>
    <n v="1"/>
    <x v="1"/>
    <s v="Vestdanmark"/>
    <n v="2184559.2882253225"/>
    <n v="0"/>
    <n v="0"/>
    <n v="123531.68309679118"/>
    <n v="0"/>
    <n v="0"/>
    <n v="0"/>
    <n v="0"/>
    <n v="2061027.6051285313"/>
    <n v="0"/>
    <n v="0"/>
    <n v="0"/>
    <n v="0"/>
    <n v="0"/>
    <n v="0"/>
    <n v="0"/>
    <n v="0"/>
    <n v="0"/>
    <n v="0"/>
  </r>
  <r>
    <x v="22"/>
    <x v="5"/>
    <n v="1"/>
    <n v="1"/>
    <x v="1"/>
    <s v="Vestdanmark"/>
    <n v="7012260.3004318569"/>
    <n v="5734288.3153172266"/>
    <n v="0"/>
    <n v="295933.04302308214"/>
    <n v="0"/>
    <n v="0"/>
    <n v="0"/>
    <n v="0"/>
    <n v="982038.94209154788"/>
    <n v="982038.94209154788"/>
    <n v="0"/>
    <n v="3.3633458912116594"/>
    <n v="3.3633458912116594"/>
    <n v="0"/>
    <n v="3.3633458912116594"/>
    <n v="304432.07204837987"/>
    <n v="304432.07204837987"/>
    <n v="0"/>
    <n v="304432.07204837987"/>
  </r>
  <r>
    <x v="23"/>
    <x v="10"/>
    <n v="0"/>
    <n v="0"/>
    <x v="1"/>
    <s v="Vestdanmark"/>
    <n v="0"/>
    <n v="0"/>
    <n v="0"/>
    <n v="0"/>
    <n v="0"/>
    <n v="590491.77533861843"/>
    <n v="0"/>
    <n v="0"/>
    <n v="-590491.77533861843"/>
    <n v="0"/>
    <n v="0"/>
    <n v="0"/>
    <n v="0"/>
    <n v="0"/>
    <n v="0"/>
    <n v="0"/>
    <n v="0"/>
    <n v="0"/>
    <n v="0"/>
  </r>
  <r>
    <x v="24"/>
    <x v="2"/>
    <n v="1"/>
    <n v="0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n v="0"/>
    <x v="1"/>
    <s v="Vestdanmark"/>
    <n v="1620993.8653666629"/>
    <n v="1478350.7282518283"/>
    <n v="0"/>
    <n v="0"/>
    <n v="0"/>
    <n v="0"/>
    <n v="0"/>
    <n v="0"/>
    <n v="142643.13711483451"/>
    <n v="0"/>
    <n v="0"/>
    <n v="0"/>
    <n v="0"/>
    <n v="0"/>
    <n v="0"/>
    <n v="0"/>
    <n v="0"/>
    <n v="0"/>
    <n v="0"/>
  </r>
  <r>
    <x v="26"/>
    <x v="4"/>
    <n v="1"/>
    <n v="1"/>
    <x v="1"/>
    <s v="Vestdanmark"/>
    <n v="7810797.3149183672"/>
    <n v="5517603.3385994658"/>
    <n v="0"/>
    <n v="0"/>
    <n v="0"/>
    <n v="0"/>
    <n v="0"/>
    <n v="0"/>
    <n v="2293193.9763189014"/>
    <n v="2001163.0190917293"/>
    <n v="0"/>
    <n v="7.1841752385393089"/>
    <n v="7.1841752385393089"/>
    <n v="0"/>
    <n v="7.1841752385393089"/>
    <n v="600348.90572751872"/>
    <n v="600348.90572751872"/>
    <n v="0"/>
    <n v="600348.90572751872"/>
  </r>
  <r>
    <x v="27"/>
    <x v="10"/>
    <n v="0"/>
    <n v="1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644241.434656535"/>
    <n v="0"/>
    <n v="0"/>
    <n v="0"/>
    <n v="0"/>
    <n v="0"/>
    <n v="0"/>
    <n v="0"/>
    <n v="1644241.434656535"/>
    <n v="0"/>
    <n v="0"/>
    <n v="0"/>
    <n v="0"/>
    <n v="0"/>
    <n v="0"/>
    <n v="0"/>
    <n v="0"/>
    <n v="0"/>
    <n v="0"/>
  </r>
  <r>
    <x v="31"/>
    <x v="7"/>
    <n v="1"/>
    <n v="0"/>
    <x v="1"/>
    <s v="Vestdanmark"/>
    <n v="170203.15251490066"/>
    <n v="0"/>
    <n v="0"/>
    <n v="0"/>
    <n v="0"/>
    <n v="0"/>
    <n v="170203.15251490066"/>
    <n v="0"/>
    <n v="0"/>
    <n v="0"/>
    <n v="170203.15251490066"/>
    <n v="0"/>
    <n v="3.1317380062741718"/>
    <n v="0"/>
    <n v="3.1317380062741718"/>
    <n v="0"/>
    <n v="70634.308293683775"/>
    <n v="0"/>
    <n v="70634.308293683775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n v="0"/>
    <x v="1"/>
    <s v="Vestdanmark"/>
    <n v="497134.76694638823"/>
    <n v="0"/>
    <n v="0"/>
    <n v="0"/>
    <n v="0"/>
    <n v="0"/>
    <n v="0"/>
    <n v="497134.76694638823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248567.38347319412"/>
    <n v="208821.40901429488"/>
    <n v="0"/>
    <n v="0"/>
    <n v="0"/>
    <n v="0"/>
    <n v="0"/>
    <n v="0"/>
    <n v="39745.974458899233"/>
    <n v="0"/>
    <n v="0"/>
    <n v="0"/>
    <n v="0"/>
    <n v="0"/>
    <n v="0"/>
    <n v="0"/>
    <n v="0"/>
    <n v="0"/>
    <n v="0"/>
  </r>
  <r>
    <x v="37"/>
    <x v="9"/>
    <n v="1"/>
    <n v="1"/>
    <x v="1"/>
    <s v="Vestdanmark"/>
    <n v="159083.12542284423"/>
    <n v="0"/>
    <n v="0"/>
    <n v="0"/>
    <n v="0"/>
    <n v="0"/>
    <n v="159083.12542284423"/>
    <n v="0"/>
    <n v="0"/>
    <n v="0"/>
    <n v="159083.12542284423"/>
    <n v="0"/>
    <n v="5.5679093897995475"/>
    <n v="0"/>
    <n v="5.5679093897995475"/>
    <n v="0"/>
    <n v="0"/>
    <n v="0"/>
    <n v="0"/>
  </r>
  <r>
    <x v="38"/>
    <x v="4"/>
    <n v="1"/>
    <n v="1"/>
    <x v="1"/>
    <s v="Vestdanmark"/>
    <n v="387359.23061650008"/>
    <n v="820432.23039507493"/>
    <n v="0"/>
    <n v="0"/>
    <n v="0"/>
    <n v="0"/>
    <n v="0"/>
    <n v="0"/>
    <n v="-433072.99977857486"/>
    <n v="0"/>
    <n v="0"/>
    <n v="0"/>
    <n v="0"/>
    <n v="0"/>
    <n v="0"/>
    <n v="0"/>
    <n v="0"/>
    <n v="0"/>
    <n v="0"/>
  </r>
  <r>
    <x v="39"/>
    <x v="10"/>
    <n v="0"/>
    <n v="0"/>
    <x v="1"/>
    <s v="Vestdanmark"/>
    <n v="186820.23082427966"/>
    <n v="0"/>
    <n v="0"/>
    <n v="0"/>
    <n v="0"/>
    <n v="0"/>
    <n v="0"/>
    <n v="0"/>
    <n v="186820.23082427966"/>
    <n v="0"/>
    <n v="0"/>
    <n v="0"/>
    <n v="0"/>
    <n v="0"/>
    <n v="0"/>
    <n v="0"/>
    <n v="0"/>
    <n v="0"/>
    <n v="0"/>
  </r>
  <r>
    <x v="40"/>
    <x v="10"/>
    <n v="0"/>
    <n v="0"/>
    <x v="1"/>
    <s v="Vestdanmark"/>
    <n v="125332.48409482336"/>
    <n v="38444.108772506181"/>
    <n v="0"/>
    <n v="0"/>
    <n v="0"/>
    <n v="0"/>
    <n v="0"/>
    <n v="0"/>
    <n v="86888.375322317181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n v="0"/>
    <x v="1"/>
    <s v="Vestdanmark"/>
    <n v="14539919.740607873"/>
    <n v="0"/>
    <n v="0"/>
    <n v="0"/>
    <n v="10904939.805455904"/>
    <n v="3634979.9351519686"/>
    <n v="0"/>
    <n v="0"/>
    <n v="0"/>
    <n v="0"/>
    <n v="10904939.805455904"/>
    <n v="0"/>
    <n v="4.697848068190404"/>
    <n v="4.697848068190404"/>
    <n v="0"/>
    <n v="0"/>
    <n v="545246.9902727952"/>
    <n v="545246.9902727952"/>
    <n v="0"/>
  </r>
  <r>
    <x v="43"/>
    <x v="10"/>
    <n v="0"/>
    <n v="1"/>
    <x v="1"/>
    <s v="Vestdanmark"/>
    <n v="1329115.7893830882"/>
    <n v="0"/>
    <n v="0"/>
    <n v="121875.54404868034"/>
    <n v="0"/>
    <n v="0"/>
    <n v="0"/>
    <n v="0"/>
    <n v="1207240.2453344078"/>
    <n v="0"/>
    <n v="0"/>
    <n v="0"/>
    <n v="0"/>
    <n v="0"/>
    <n v="0"/>
    <n v="0"/>
    <n v="0"/>
    <n v="0"/>
    <n v="0"/>
  </r>
  <r>
    <x v="44"/>
    <x v="6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7144.8993992088"/>
    <n v="0"/>
    <n v="0"/>
    <n v="0"/>
    <n v="0"/>
    <n v="0"/>
    <n v="2217144.8993992088"/>
    <n v="0"/>
    <n v="0"/>
    <n v="0"/>
    <n v="2217144.8993992088"/>
    <n v="0"/>
    <n v="32.134342362444997"/>
    <n v="0"/>
    <n v="32.134342362444997"/>
    <n v="0"/>
    <n v="1096562.9148278586"/>
    <n v="0"/>
    <n v="1096562.9148278586"/>
  </r>
  <r>
    <x v="47"/>
    <x v="10"/>
    <n v="0"/>
    <n v="0"/>
    <x v="1"/>
    <s v="Vestdanmark"/>
    <n v="610444.4261939266"/>
    <n v="0"/>
    <n v="0"/>
    <n v="0"/>
    <n v="0"/>
    <n v="0"/>
    <n v="0"/>
    <n v="610444.4261939266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n v="1"/>
    <x v="2"/>
    <s v="Vestdanmark"/>
    <n v="250215.04217969507"/>
    <n v="60017.752814183521"/>
    <n v="0"/>
    <n v="0"/>
    <n v="0"/>
    <n v="0"/>
    <n v="0"/>
    <n v="0"/>
    <n v="190197.28936551156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563663167.57084477"/>
    <n v="0"/>
    <n v="0"/>
    <n v="0"/>
    <n v="0"/>
    <n v="0"/>
    <n v="563663167.57084477"/>
    <n v="0"/>
    <n v="0"/>
    <n v="0"/>
    <n v="563663167.57084477"/>
    <n v="0"/>
    <n v="0"/>
    <n v="0"/>
    <n v="0"/>
    <n v="0"/>
    <n v="0"/>
    <n v="0"/>
    <n v="0"/>
  </r>
  <r>
    <x v="4"/>
    <x v="10"/>
    <n v="0"/>
    <n v="0"/>
    <x v="2"/>
    <s v="Vestdanmark"/>
    <n v="27386289.783254456"/>
    <n v="0"/>
    <n v="0"/>
    <n v="0"/>
    <n v="0"/>
    <n v="21610883.072868608"/>
    <n v="0"/>
    <n v="0"/>
    <n v="5775406.7103858478"/>
    <n v="0"/>
    <n v="0"/>
    <n v="0"/>
    <n v="0"/>
    <n v="0"/>
    <n v="0"/>
    <n v="0"/>
    <n v="0"/>
    <n v="0"/>
    <n v="0"/>
  </r>
  <r>
    <x v="5"/>
    <x v="1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Vestdanmark"/>
    <n v="2537079.9796545585"/>
    <n v="0"/>
    <n v="0"/>
    <n v="0"/>
    <n v="2283371.9816891025"/>
    <n v="96046.599229779691"/>
    <n v="0"/>
    <n v="0"/>
    <n v="157661.39873567643"/>
    <n v="157661.39873567643"/>
    <n v="2283371.9816891025"/>
    <n v="0.33960265287664704"/>
    <n v="5.2579859014349744"/>
    <n v="4.9183832485583272"/>
    <n v="0.33960265287664715"/>
    <n v="47298.419620702924"/>
    <n v="732310.01412743365"/>
    <n v="685011.59450673067"/>
    <n v="47298.419620702974"/>
  </r>
  <r>
    <x v="7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n v="1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813451.18685438076"/>
    <n v="0"/>
    <n v="0"/>
    <n v="0"/>
    <n v="0"/>
    <n v="0"/>
    <n v="0"/>
    <n v="0"/>
    <n v="813451.18685438076"/>
    <n v="0"/>
    <n v="0"/>
    <n v="0"/>
    <n v="0"/>
    <n v="0"/>
    <n v="0"/>
    <n v="0"/>
    <n v="0"/>
    <n v="0"/>
    <n v="0"/>
  </r>
  <r>
    <x v="11"/>
    <x v="10"/>
    <n v="0"/>
    <n v="1"/>
    <x v="2"/>
    <s v="Vestdanmark"/>
    <n v="24926.840286441191"/>
    <n v="0"/>
    <n v="0"/>
    <n v="267978.92035102146"/>
    <n v="0"/>
    <n v="0"/>
    <n v="0"/>
    <n v="0"/>
    <n v="-243052.08006458025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2"/>
    <s v="Vestdanmark"/>
    <n v="13682245.34995167"/>
    <n v="11387535.016591122"/>
    <n v="0"/>
    <n v="0"/>
    <n v="0"/>
    <n v="0"/>
    <n v="0"/>
    <n v="0"/>
    <n v="2294710.3333605472"/>
    <n v="2294710.3333605472"/>
    <n v="0"/>
    <n v="4.2219801745917369"/>
    <n v="4.2219801745917369"/>
    <n v="0"/>
    <n v="4.2219801745917369"/>
    <n v="642518.89334095328"/>
    <n v="642518.89334095328"/>
    <n v="0"/>
    <n v="642518.89334095328"/>
  </r>
  <r>
    <x v="14"/>
    <x v="10"/>
    <n v="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182765.86123576926"/>
    <n v="0"/>
    <n v="0"/>
    <n v="280672.65868343826"/>
    <n v="0"/>
    <n v="0"/>
    <n v="0"/>
    <n v="0"/>
    <n v="-97906.797447669"/>
    <n v="0"/>
    <n v="0"/>
    <n v="0"/>
    <n v="0"/>
    <n v="0"/>
    <n v="0"/>
    <n v="0"/>
    <n v="0"/>
    <n v="0"/>
    <n v="0"/>
  </r>
  <r>
    <x v="16"/>
    <x v="5"/>
    <n v="1"/>
    <n v="0"/>
    <x v="2"/>
    <s v="Vestdanmark"/>
    <n v="3995324.8119856864"/>
    <n v="719379.45387000521"/>
    <n v="654302.91213284992"/>
    <n v="0"/>
    <n v="0"/>
    <n v="0"/>
    <n v="2621642.4459828315"/>
    <n v="0"/>
    <n v="0"/>
    <n v="0"/>
    <n v="2621642.4459828315"/>
    <n v="0"/>
    <n v="27.096788612133071"/>
    <n v="0"/>
    <n v="27.096788612133071"/>
    <n v="0"/>
    <n v="2228396.0790854068"/>
    <n v="0"/>
    <n v="2228396.0790854068"/>
  </r>
  <r>
    <x v="17"/>
    <x v="1"/>
    <n v="1"/>
    <n v="0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n v="1"/>
    <x v="2"/>
    <s v="Vestdanmark"/>
    <n v="0"/>
    <n v="4492995.6620617937"/>
    <n v="0"/>
    <n v="0"/>
    <n v="0"/>
    <n v="0"/>
    <n v="0"/>
    <n v="0"/>
    <n v="-4492995.6620617937"/>
    <n v="0"/>
    <n v="0"/>
    <n v="0"/>
    <n v="0"/>
    <n v="0"/>
    <n v="0"/>
    <n v="0"/>
    <n v="0"/>
    <n v="0"/>
    <n v="0"/>
  </r>
  <r>
    <x v="19"/>
    <x v="1"/>
    <n v="1"/>
    <n v="0"/>
    <x v="2"/>
    <s v="Vestdanmark"/>
    <n v="500298.07400383818"/>
    <n v="0"/>
    <n v="0"/>
    <n v="0"/>
    <n v="0"/>
    <n v="0"/>
    <n v="0"/>
    <n v="0"/>
    <n v="500298.07400383818"/>
    <n v="500298.07400383818"/>
    <n v="0"/>
    <n v="2.1678565934082514"/>
    <n v="2.1678565934082514"/>
    <n v="0"/>
    <n v="2.1678565934082514"/>
    <n v="210125.19108161202"/>
    <n v="210125.19108161202"/>
    <n v="0"/>
    <n v="210125.19108161202"/>
  </r>
  <r>
    <x v="20"/>
    <x v="10"/>
    <n v="0"/>
    <n v="0"/>
    <x v="2"/>
    <s v="Vestdanmark"/>
    <n v="736287.78133601486"/>
    <n v="0"/>
    <n v="0"/>
    <n v="0"/>
    <n v="0"/>
    <n v="0"/>
    <n v="0"/>
    <n v="0"/>
    <n v="736287.78133601486"/>
    <n v="0"/>
    <n v="0"/>
    <n v="0"/>
    <n v="0"/>
    <n v="0"/>
    <n v="0"/>
    <n v="0"/>
    <n v="0"/>
    <n v="0"/>
    <n v="0"/>
  </r>
  <r>
    <x v="21"/>
    <x v="10"/>
    <n v="0"/>
    <n v="1"/>
    <x v="2"/>
    <s v="Vestdanmark"/>
    <n v="2034058.7589381256"/>
    <n v="0"/>
    <n v="0"/>
    <n v="128347.79869443661"/>
    <n v="0"/>
    <n v="0"/>
    <n v="0"/>
    <n v="0"/>
    <n v="1905710.9602436889"/>
    <n v="0"/>
    <n v="0"/>
    <n v="0"/>
    <n v="0"/>
    <n v="0"/>
    <n v="0"/>
    <n v="0"/>
    <n v="0"/>
    <n v="0"/>
    <n v="0"/>
  </r>
  <r>
    <x v="22"/>
    <x v="5"/>
    <n v="1"/>
    <n v="1"/>
    <x v="2"/>
    <s v="Vestdanmark"/>
    <n v="6657445.6000957079"/>
    <n v="5470784.8849928668"/>
    <n v="0"/>
    <n v="307470.55071854044"/>
    <n v="0"/>
    <n v="0"/>
    <n v="0"/>
    <n v="0"/>
    <n v="879190.16438430082"/>
    <n v="879190.16438430082"/>
    <n v="0"/>
    <n v="3.0111032263932169"/>
    <n v="3.0111032263932169"/>
    <n v="0"/>
    <n v="3.0111032263932169"/>
    <n v="272548.95095913328"/>
    <n v="272548.95095913328"/>
    <n v="0"/>
    <n v="272548.95095913328"/>
  </r>
  <r>
    <x v="23"/>
    <x v="10"/>
    <n v="0"/>
    <n v="0"/>
    <x v="2"/>
    <s v="Vestdanmark"/>
    <n v="0"/>
    <n v="0"/>
    <n v="0"/>
    <n v="0"/>
    <n v="0"/>
    <n v="475615.83979339601"/>
    <n v="0"/>
    <n v="0"/>
    <n v="-475615.83979339601"/>
    <n v="0"/>
    <n v="0"/>
    <n v="0"/>
    <n v="0"/>
    <n v="0"/>
    <n v="0"/>
    <n v="0"/>
    <n v="0"/>
    <n v="0"/>
    <n v="0"/>
  </r>
  <r>
    <x v="24"/>
    <x v="2"/>
    <n v="1"/>
    <n v="0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n v="0"/>
    <x v="2"/>
    <s v="Vestdanmark"/>
    <n v="1590883.4700780637"/>
    <n v="1410417.1911333126"/>
    <n v="0"/>
    <n v="0"/>
    <n v="0"/>
    <n v="0"/>
    <n v="0"/>
    <n v="0"/>
    <n v="180466.27894475101"/>
    <n v="0"/>
    <n v="0"/>
    <n v="0"/>
    <n v="0"/>
    <n v="0"/>
    <n v="0"/>
    <n v="0"/>
    <n v="0"/>
    <n v="0"/>
    <n v="0"/>
  </r>
  <r>
    <x v="26"/>
    <x v="4"/>
    <n v="1"/>
    <n v="1"/>
    <x v="2"/>
    <s v="Vestdanmark"/>
    <n v="7480186.4136029035"/>
    <n v="5264057.0697440123"/>
    <n v="0"/>
    <n v="0"/>
    <n v="0"/>
    <n v="0"/>
    <n v="0"/>
    <n v="0"/>
    <n v="2216129.3438588912"/>
    <n v="1964071.9525106091"/>
    <n v="0"/>
    <n v="7.0510183095130872"/>
    <n v="7.0510183095130872"/>
    <n v="0"/>
    <n v="7.0510183095130872"/>
    <n v="589221.58575318265"/>
    <n v="589221.58575318265"/>
    <n v="0"/>
    <n v="589221.58575318265"/>
  </r>
  <r>
    <x v="27"/>
    <x v="10"/>
    <n v="0"/>
    <n v="1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n v="1"/>
    <x v="2"/>
    <s v="Vestdanmark"/>
    <n v="1547190.8284741363"/>
    <n v="0"/>
    <n v="0"/>
    <n v="0"/>
    <n v="0"/>
    <n v="0"/>
    <n v="0"/>
    <n v="0"/>
    <n v="1547190.8284741363"/>
    <n v="0"/>
    <n v="0"/>
    <n v="0"/>
    <n v="0"/>
    <n v="0"/>
    <n v="0"/>
    <n v="0"/>
    <n v="0"/>
    <n v="0"/>
    <n v="0"/>
  </r>
  <r>
    <x v="31"/>
    <x v="7"/>
    <n v="1"/>
    <n v="0"/>
    <x v="2"/>
    <s v="Vestdanmark"/>
    <n v="146472.78733520172"/>
    <n v="0"/>
    <n v="0"/>
    <n v="0"/>
    <n v="0"/>
    <n v="0"/>
    <n v="146472.78733520172"/>
    <n v="0"/>
    <n v="0"/>
    <n v="0"/>
    <n v="146472.78733520172"/>
    <n v="0"/>
    <n v="2.6950992869677113"/>
    <n v="0"/>
    <n v="2.6950992869677113"/>
    <n v="0"/>
    <n v="60786.20674410872"/>
    <n v="0"/>
    <n v="60786.20674410872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n v="0"/>
    <x v="2"/>
    <s v="Vestdanmark"/>
    <n v="471962.43365815014"/>
    <n v="0"/>
    <n v="0"/>
    <n v="0"/>
    <n v="0"/>
    <n v="0"/>
    <n v="0"/>
    <n v="471962.43365815014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235981.21682907507"/>
    <n v="199225.59614708141"/>
    <n v="0"/>
    <n v="0"/>
    <n v="0"/>
    <n v="0"/>
    <n v="0"/>
    <n v="0"/>
    <n v="36755.620681993663"/>
    <n v="0"/>
    <n v="0"/>
    <n v="0"/>
    <n v="0"/>
    <n v="0"/>
    <n v="0"/>
    <n v="0"/>
    <n v="0"/>
    <n v="0"/>
    <n v="0"/>
  </r>
  <r>
    <x v="37"/>
    <x v="9"/>
    <n v="1"/>
    <n v="1"/>
    <x v="2"/>
    <s v="Vestdanmark"/>
    <n v="151027.97877060805"/>
    <n v="0"/>
    <n v="0"/>
    <n v="0"/>
    <n v="0"/>
    <n v="0"/>
    <n v="151027.97877060805"/>
    <n v="0"/>
    <n v="0"/>
    <n v="0"/>
    <n v="151027.97877060805"/>
    <n v="0"/>
    <n v="5.2859792569712818"/>
    <n v="0"/>
    <n v="5.2859792569712818"/>
    <n v="0"/>
    <n v="0"/>
    <n v="0"/>
    <n v="0"/>
  </r>
  <r>
    <x v="38"/>
    <x v="4"/>
    <n v="1"/>
    <n v="1"/>
    <x v="2"/>
    <s v="Vestdanmark"/>
    <n v="370630.07456563454"/>
    <n v="782731.52628497675"/>
    <n v="0"/>
    <n v="0"/>
    <n v="0"/>
    <n v="0"/>
    <n v="0"/>
    <n v="0"/>
    <n v="-412101.45171934221"/>
    <n v="0"/>
    <n v="0"/>
    <n v="0"/>
    <n v="0"/>
    <n v="0"/>
    <n v="0"/>
    <n v="0"/>
    <n v="0"/>
    <n v="0"/>
    <n v="0"/>
  </r>
  <r>
    <x v="39"/>
    <x v="10"/>
    <n v="0"/>
    <n v="0"/>
    <x v="2"/>
    <s v="Vestdanmark"/>
    <n v="173774.13679266855"/>
    <n v="0"/>
    <n v="0"/>
    <n v="0"/>
    <n v="0"/>
    <n v="0"/>
    <n v="0"/>
    <n v="0"/>
    <n v="173774.13679266855"/>
    <n v="0"/>
    <n v="0"/>
    <n v="0"/>
    <n v="0"/>
    <n v="0"/>
    <n v="0"/>
    <n v="0"/>
    <n v="0"/>
    <n v="0"/>
    <n v="0"/>
  </r>
  <r>
    <x v="40"/>
    <x v="10"/>
    <n v="0"/>
    <n v="0"/>
    <x v="2"/>
    <s v="Vestdanmark"/>
    <n v="114148.26729349417"/>
    <n v="36677.515608667709"/>
    <n v="0"/>
    <n v="0"/>
    <n v="0"/>
    <n v="0"/>
    <n v="0"/>
    <n v="0"/>
    <n v="77470.751684826449"/>
    <n v="0"/>
    <n v="0"/>
    <n v="0"/>
    <n v="0"/>
    <n v="0"/>
    <n v="0"/>
    <n v="0"/>
    <n v="0"/>
    <n v="0"/>
    <n v="0"/>
  </r>
  <r>
    <x v="41"/>
    <x v="1"/>
    <n v="1"/>
    <n v="0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</r>
  <r>
    <x v="42"/>
    <x v="2"/>
    <n v="1"/>
    <n v="0"/>
    <x v="2"/>
    <s v="Vestdanmark"/>
    <n v="12989062.590821607"/>
    <n v="0"/>
    <n v="0"/>
    <n v="0"/>
    <n v="11690156.331739446"/>
    <n v="1298906.2590821604"/>
    <n v="0"/>
    <n v="0"/>
    <n v="0"/>
    <n v="0"/>
    <n v="11690156.331739446"/>
    <n v="0"/>
    <n v="5.0361193477133543"/>
    <n v="5.0361193477133543"/>
    <n v="0"/>
    <n v="0"/>
    <n v="584507.81658697233"/>
    <n v="584507.81658697233"/>
    <n v="0"/>
  </r>
  <r>
    <x v="43"/>
    <x v="10"/>
    <n v="0"/>
    <n v="1"/>
    <x v="2"/>
    <s v="Vestdanmark"/>
    <n v="1206135.7873952007"/>
    <n v="0"/>
    <n v="0"/>
    <n v="126627.09194270898"/>
    <n v="0"/>
    <n v="0"/>
    <n v="0"/>
    <n v="0"/>
    <n v="1079508.6954524918"/>
    <n v="0"/>
    <n v="0"/>
    <n v="0"/>
    <n v="0"/>
    <n v="0"/>
    <n v="0"/>
    <n v="0"/>
    <n v="0"/>
    <n v="0"/>
    <n v="0"/>
  </r>
  <r>
    <x v="44"/>
    <x v="6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287577.6202536402"/>
    <n v="0"/>
    <n v="0"/>
    <n v="0"/>
    <n v="0"/>
    <n v="0"/>
    <n v="2287577.6202536402"/>
    <n v="0"/>
    <n v="0"/>
    <n v="0"/>
    <n v="2287577.6202536402"/>
    <n v="0"/>
    <n v="33.155163855017776"/>
    <n v="0"/>
    <n v="33.155163855017776"/>
    <n v="0"/>
    <n v="1131397.7646837796"/>
    <n v="0"/>
    <n v="1131397.7646837796"/>
  </r>
  <r>
    <x v="47"/>
    <x v="10"/>
    <n v="0"/>
    <n v="0"/>
    <x v="2"/>
    <s v="Vestdanmark"/>
    <n v="659548.66396073136"/>
    <n v="0"/>
    <n v="0"/>
    <n v="0"/>
    <n v="0"/>
    <n v="0"/>
    <n v="0"/>
    <n v="659548.66396073136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n v="1"/>
    <x v="1"/>
    <s v="Østdanmark"/>
    <n v="28047.573536439377"/>
    <n v="7686.2399260183547"/>
    <n v="0"/>
    <n v="0"/>
    <n v="0"/>
    <n v="0"/>
    <n v="0"/>
    <n v="0"/>
    <n v="20361.333610421021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107723774.7744855"/>
    <n v="0"/>
    <n v="0"/>
    <n v="0"/>
    <n v="0"/>
    <n v="0"/>
    <n v="107723774.7744855"/>
    <n v="0"/>
    <n v="0"/>
    <n v="0"/>
    <n v="107723774.7744855"/>
    <n v="0"/>
    <n v="0"/>
    <n v="0"/>
    <n v="0"/>
    <n v="0"/>
    <n v="0"/>
    <n v="0"/>
    <n v="0"/>
  </r>
  <r>
    <x v="4"/>
    <x v="10"/>
    <n v="0"/>
    <n v="0"/>
    <x v="1"/>
    <s v="Østdanmark"/>
    <n v="4979961.0474174749"/>
    <n v="0"/>
    <n v="0"/>
    <n v="0"/>
    <n v="0"/>
    <n v="4017892.007010099"/>
    <n v="0"/>
    <n v="0"/>
    <n v="962069.0404073759"/>
    <n v="0"/>
    <n v="0"/>
    <n v="0"/>
    <n v="0"/>
    <n v="0"/>
    <n v="0"/>
    <n v="0"/>
    <n v="0"/>
    <n v="0"/>
    <n v="0"/>
  </r>
  <r>
    <x v="5"/>
    <x v="1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1"/>
    <s v="Østdanmark"/>
    <n v="346377.64489394147"/>
    <n v="0"/>
    <n v="0"/>
    <n v="0"/>
    <n v="259783.2336704561"/>
    <n v="32782.169963176602"/>
    <n v="0"/>
    <n v="0"/>
    <n v="53812.241260308772"/>
    <n v="53812.241260308772"/>
    <n v="259783.2336704561"/>
    <n v="0.1159115676747051"/>
    <n v="0.67548465300086757"/>
    <n v="0.55957308532616246"/>
    <n v="0.11591156767470512"/>
    <n v="16143.672378092631"/>
    <n v="94078.642479229457"/>
    <n v="77934.970101136831"/>
    <n v="16143.672378092626"/>
  </r>
  <r>
    <x v="7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n v="1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n v="0"/>
    <x v="1"/>
    <s v="Østdanmark"/>
    <n v="639925.05348634056"/>
    <n v="0"/>
    <n v="0"/>
    <n v="0"/>
    <n v="0"/>
    <n v="0"/>
    <n v="0"/>
    <n v="0"/>
    <n v="639925.05348634056"/>
    <n v="0"/>
    <n v="0"/>
    <n v="0"/>
    <n v="0"/>
    <n v="0"/>
    <n v="0"/>
    <n v="0"/>
    <n v="0"/>
    <n v="0"/>
    <n v="0"/>
  </r>
  <r>
    <x v="11"/>
    <x v="10"/>
    <n v="0"/>
    <n v="1"/>
    <x v="1"/>
    <s v="Østdanmark"/>
    <n v="16391.280898066685"/>
    <n v="0"/>
    <n v="0"/>
    <n v="223323.94265330929"/>
    <n v="0"/>
    <n v="0"/>
    <n v="0"/>
    <n v="0"/>
    <n v="-206932.66175524262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1"/>
    <s v="Østdanmark"/>
    <n v="2198776.4550645952"/>
    <n v="1458357.2726296766"/>
    <n v="0"/>
    <n v="0"/>
    <n v="0"/>
    <n v="0"/>
    <n v="0"/>
    <n v="0"/>
    <n v="740419.18243491859"/>
    <n v="740419.18243491859"/>
    <n v="0"/>
    <n v="1.3622787432824459"/>
    <n v="1.3622787432824459"/>
    <n v="0"/>
    <n v="1.3622787432824459"/>
    <n v="207317.37108177724"/>
    <n v="207317.37108177724"/>
    <n v="0"/>
    <n v="207317.37108177724"/>
  </r>
  <r>
    <x v="14"/>
    <x v="10"/>
    <n v="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99364.334403430083"/>
    <n v="0"/>
    <n v="0"/>
    <n v="233902.44520004498"/>
    <n v="0"/>
    <n v="0"/>
    <n v="0"/>
    <n v="0"/>
    <n v="-134538.1107966149"/>
    <n v="0"/>
    <n v="0"/>
    <n v="0"/>
    <n v="0"/>
    <n v="0"/>
    <n v="0"/>
    <n v="0"/>
    <n v="0"/>
    <n v="0"/>
    <n v="0"/>
  </r>
  <r>
    <x v="16"/>
    <x v="5"/>
    <n v="1"/>
    <n v="0"/>
    <x v="1"/>
    <s v="Østdanmark"/>
    <n v="1338955.2191121718"/>
    <n v="92128.125779914451"/>
    <n v="99919.118195708812"/>
    <n v="0"/>
    <n v="0"/>
    <n v="0"/>
    <n v="1146907.9751365485"/>
    <n v="0"/>
    <n v="0"/>
    <n v="0"/>
    <n v="1146907.9751365485"/>
    <n v="0"/>
    <n v="11.854218719820096"/>
    <n v="0"/>
    <n v="11.854218719820096"/>
    <n v="0"/>
    <n v="974871.77886606625"/>
    <n v="0"/>
    <n v="974871.77886606625"/>
  </r>
  <r>
    <x v="17"/>
    <x v="1"/>
    <n v="1"/>
    <n v="0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n v="1"/>
    <x v="1"/>
    <s v="Østdanmark"/>
    <n v="0"/>
    <n v="575400.46112831845"/>
    <n v="0"/>
    <n v="0"/>
    <n v="0"/>
    <n v="0"/>
    <n v="0"/>
    <n v="0"/>
    <n v="-575400.46112831845"/>
    <n v="0"/>
    <n v="0"/>
    <n v="0"/>
    <n v="0"/>
    <n v="0"/>
    <n v="0"/>
    <n v="0"/>
    <n v="0"/>
    <n v="0"/>
    <n v="0"/>
  </r>
  <r>
    <x v="19"/>
    <x v="1"/>
    <n v="1"/>
    <n v="0"/>
    <x v="1"/>
    <s v="Østdanmark"/>
    <n v="201909.85062896684"/>
    <n v="0"/>
    <n v="0"/>
    <n v="0"/>
    <n v="0"/>
    <n v="0"/>
    <n v="0"/>
    <n v="0"/>
    <n v="201909.85062896684"/>
    <n v="201909.85062896684"/>
    <n v="0"/>
    <n v="0.87490163105589525"/>
    <n v="0.87490163105589525"/>
    <n v="0"/>
    <n v="0.87490163105589525"/>
    <n v="84802.137264166071"/>
    <n v="84802.137264166071"/>
    <n v="0"/>
    <n v="84802.137264166071"/>
  </r>
  <r>
    <x v="20"/>
    <x v="10"/>
    <n v="0"/>
    <n v="0"/>
    <x v="1"/>
    <s v="Østdanmark"/>
    <n v="151266.45400737421"/>
    <n v="0"/>
    <n v="0"/>
    <n v="0"/>
    <n v="0"/>
    <n v="0"/>
    <n v="0"/>
    <n v="0"/>
    <n v="151266.45400737421"/>
    <n v="0"/>
    <n v="0"/>
    <n v="0"/>
    <n v="0"/>
    <n v="0"/>
    <n v="0"/>
    <n v="0"/>
    <n v="0"/>
    <n v="0"/>
    <n v="0"/>
  </r>
  <r>
    <x v="21"/>
    <x v="10"/>
    <n v="0"/>
    <n v="1"/>
    <x v="1"/>
    <s v="Østdanmark"/>
    <n v="120819.30729817749"/>
    <n v="0"/>
    <n v="0"/>
    <n v="106960.41463921656"/>
    <n v="0"/>
    <n v="0"/>
    <n v="0"/>
    <n v="0"/>
    <n v="13858.892658960933"/>
    <n v="0"/>
    <n v="0"/>
    <n v="0"/>
    <n v="0"/>
    <n v="0"/>
    <n v="0"/>
    <n v="0"/>
    <n v="0"/>
    <n v="0"/>
    <n v="0"/>
  </r>
  <r>
    <x v="22"/>
    <x v="5"/>
    <n v="1"/>
    <n v="1"/>
    <x v="1"/>
    <s v="Østdanmark"/>
    <n v="2364100.9929543477"/>
    <n v="700622.1199230341"/>
    <n v="0"/>
    <n v="256234.83946537593"/>
    <n v="0"/>
    <n v="0"/>
    <n v="0"/>
    <n v="0"/>
    <n v="1407244.0335659378"/>
    <n v="1407244.0335659378"/>
    <n v="0"/>
    <n v="4.8196138007986384"/>
    <n v="4.8196138007986384"/>
    <n v="0"/>
    <n v="4.8196138007986384"/>
    <n v="436245.65040544071"/>
    <n v="436245.65040544071"/>
    <n v="0"/>
    <n v="436245.65040544071"/>
  </r>
  <r>
    <x v="23"/>
    <x v="10"/>
    <n v="0"/>
    <n v="0"/>
    <x v="1"/>
    <s v="Østdanmark"/>
    <n v="0"/>
    <n v="0"/>
    <n v="0"/>
    <n v="0"/>
    <n v="0"/>
    <n v="335173.45257844625"/>
    <n v="0"/>
    <n v="0"/>
    <n v="-335173.45257844625"/>
    <n v="0"/>
    <n v="0"/>
    <n v="0"/>
    <n v="0"/>
    <n v="0"/>
    <n v="0"/>
    <n v="0"/>
    <n v="0"/>
    <n v="0"/>
    <n v="0"/>
  </r>
  <r>
    <x v="24"/>
    <x v="2"/>
    <n v="1"/>
    <n v="0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n v="0"/>
    <x v="1"/>
    <s v="Østdanmark"/>
    <n v="115210.53389359287"/>
    <n v="180626.6382614313"/>
    <n v="0"/>
    <n v="0"/>
    <n v="0"/>
    <n v="0"/>
    <n v="0"/>
    <n v="0"/>
    <n v="-65416.10436783843"/>
    <n v="0"/>
    <n v="0"/>
    <n v="0"/>
    <n v="0"/>
    <n v="0"/>
    <n v="0"/>
    <n v="0"/>
    <n v="0"/>
    <n v="0"/>
    <n v="0"/>
  </r>
  <r>
    <x v="26"/>
    <x v="4"/>
    <n v="1"/>
    <n v="1"/>
    <x v="1"/>
    <s v="Østdanmark"/>
    <n v="382116.33628402097"/>
    <n v="674147.29351119313"/>
    <n v="0"/>
    <n v="0"/>
    <n v="0"/>
    <n v="0"/>
    <n v="0"/>
    <n v="0"/>
    <n v="-292030.95722717216"/>
    <n v="0"/>
    <n v="0"/>
    <n v="0"/>
    <n v="0"/>
    <n v="0"/>
    <n v="0"/>
    <n v="0"/>
    <n v="0"/>
    <n v="0"/>
    <n v="0"/>
  </r>
  <r>
    <x v="27"/>
    <x v="10"/>
    <n v="0"/>
    <n v="1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n v="1"/>
    <x v="1"/>
    <s v="Østdanmark"/>
    <n v="410761.8079459595"/>
    <n v="0"/>
    <n v="0"/>
    <n v="0"/>
    <n v="0"/>
    <n v="0"/>
    <n v="0"/>
    <n v="0"/>
    <n v="410761.8079459595"/>
    <n v="0"/>
    <n v="0"/>
    <n v="0"/>
    <n v="0"/>
    <n v="0"/>
    <n v="0"/>
    <n v="0"/>
    <n v="0"/>
    <n v="0"/>
    <n v="0"/>
  </r>
  <r>
    <x v="31"/>
    <x v="7"/>
    <n v="1"/>
    <n v="0"/>
    <x v="1"/>
    <s v="Østdanmark"/>
    <n v="39668.631585604686"/>
    <n v="0"/>
    <n v="0"/>
    <n v="0"/>
    <n v="0"/>
    <n v="0"/>
    <n v="39668.631585604686"/>
    <n v="0"/>
    <n v="0"/>
    <n v="0"/>
    <n v="39668.631585604686"/>
    <n v="0"/>
    <n v="0.72990282117512606"/>
    <n v="0"/>
    <n v="0.72990282117512606"/>
    <n v="0"/>
    <n v="16462.482108025946"/>
    <n v="0"/>
    <n v="16462.482108025946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n v="0"/>
    <x v="1"/>
    <s v="Østdanmark"/>
    <n v="200297.62873879672"/>
    <n v="0"/>
    <n v="0"/>
    <n v="0"/>
    <n v="0"/>
    <n v="0"/>
    <n v="0"/>
    <n v="200297.62873879672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100148.81436939836"/>
    <n v="25514.0464210887"/>
    <n v="0"/>
    <n v="0"/>
    <n v="0"/>
    <n v="0"/>
    <n v="0"/>
    <n v="0"/>
    <n v="74634.767948309658"/>
    <n v="0"/>
    <n v="0"/>
    <n v="0"/>
    <n v="0"/>
    <n v="0"/>
    <n v="0"/>
    <n v="0"/>
    <n v="0"/>
    <n v="0"/>
    <n v="0"/>
  </r>
  <r>
    <x v="37"/>
    <x v="9"/>
    <n v="1"/>
    <n v="1"/>
    <x v="1"/>
    <s v="Østdanmark"/>
    <n v="64095.241196414951"/>
    <n v="0"/>
    <n v="0"/>
    <n v="0"/>
    <n v="0"/>
    <n v="0"/>
    <n v="64095.241196414951"/>
    <n v="0"/>
    <n v="0"/>
    <n v="0"/>
    <n v="64095.241196414951"/>
    <n v="0"/>
    <n v="2.243333441874523"/>
    <n v="0"/>
    <n v="2.243333441874523"/>
    <n v="0"/>
    <n v="0"/>
    <n v="0"/>
    <n v="0"/>
  </r>
  <r>
    <x v="38"/>
    <x v="4"/>
    <n v="1"/>
    <n v="1"/>
    <x v="1"/>
    <s v="Østdanmark"/>
    <n v="2327318.8289159178"/>
    <n v="100241.37903515603"/>
    <n v="0"/>
    <n v="0"/>
    <n v="0"/>
    <n v="0"/>
    <n v="0"/>
    <n v="0"/>
    <n v="2227077.4498807616"/>
    <n v="1794004.4501021868"/>
    <n v="0"/>
    <n v="4.8689998377553394"/>
    <n v="4.8689998377553394"/>
    <n v="0"/>
    <n v="4.8689998377553394"/>
    <n v="358800.89002043736"/>
    <n v="358800.89002043736"/>
    <n v="0"/>
    <n v="358800.89002043736"/>
  </r>
  <r>
    <x v="39"/>
    <x v="10"/>
    <n v="0"/>
    <n v="0"/>
    <x v="1"/>
    <s v="Østdanmark"/>
    <n v="21912.353272016309"/>
    <n v="0"/>
    <n v="0"/>
    <n v="0"/>
    <n v="0"/>
    <n v="0"/>
    <n v="0"/>
    <n v="0"/>
    <n v="21912.353272016309"/>
    <n v="0"/>
    <n v="0"/>
    <n v="0"/>
    <n v="0"/>
    <n v="0"/>
    <n v="0"/>
    <n v="0"/>
    <n v="0"/>
    <n v="0"/>
    <n v="0"/>
  </r>
  <r>
    <x v="40"/>
    <x v="10"/>
    <n v="0"/>
    <n v="0"/>
    <x v="1"/>
    <s v="Østdanmark"/>
    <n v="17658.552594451528"/>
    <n v="4697.1466214556613"/>
    <n v="0"/>
    <n v="0"/>
    <n v="0"/>
    <n v="0"/>
    <n v="0"/>
    <n v="0"/>
    <n v="12961.405972995868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n v="0"/>
    <x v="1"/>
    <s v="Østdanmark"/>
    <n v="2106792.4244348742"/>
    <n v="0"/>
    <n v="0"/>
    <n v="0"/>
    <n v="1580094.3183261557"/>
    <n v="526698.10610871855"/>
    <n v="0"/>
    <n v="0"/>
    <n v="0"/>
    <n v="0"/>
    <n v="1580094.3183261557"/>
    <n v="0"/>
    <n v="0.68070463233490797"/>
    <n v="0.68070463233490797"/>
    <n v="0"/>
    <n v="0"/>
    <n v="79004.715916307789"/>
    <n v="79004.715916307789"/>
    <n v="0"/>
  </r>
  <r>
    <x v="43"/>
    <x v="10"/>
    <n v="0"/>
    <n v="1"/>
    <x v="1"/>
    <s v="Østdanmark"/>
    <n v="192585.04353697354"/>
    <n v="0"/>
    <n v="0"/>
    <n v="105526.43984954793"/>
    <n v="0"/>
    <n v="0"/>
    <n v="0"/>
    <n v="0"/>
    <n v="87058.60368742561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7645.86028338596"/>
    <n v="0"/>
    <n v="0"/>
    <n v="0"/>
    <n v="0"/>
    <n v="0"/>
    <n v="647645.86028338596"/>
    <n v="0"/>
    <n v="0"/>
    <n v="0"/>
    <n v="647645.86028338596"/>
    <n v="0"/>
    <n v="9.3866998993191597"/>
    <n v="0"/>
    <n v="9.3866998993191597"/>
    <n v="0"/>
    <n v="320314.84839849127"/>
    <n v="0"/>
    <n v="320314.84839849127"/>
  </r>
  <r>
    <x v="47"/>
    <x v="10"/>
    <n v="0"/>
    <n v="0"/>
    <x v="1"/>
    <s v="Østdanmark"/>
    <n v="178235.22139277839"/>
    <n v="0"/>
    <n v="0"/>
    <n v="0"/>
    <n v="0"/>
    <n v="0"/>
    <n v="0"/>
    <n v="178235.22139277839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n v="1"/>
    <x v="2"/>
    <s v="Østdanmark"/>
    <n v="27963.188224431749"/>
    <n v="7267.3729665242781"/>
    <n v="0"/>
    <n v="0"/>
    <n v="0"/>
    <n v="0"/>
    <n v="0"/>
    <n v="0"/>
    <n v="20695.81525790747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127770459.38070777"/>
    <n v="0"/>
    <n v="0"/>
    <n v="0"/>
    <n v="0"/>
    <n v="0"/>
    <n v="127770459.38070777"/>
    <n v="0"/>
    <n v="0"/>
    <n v="0"/>
    <n v="127770459.38070777"/>
    <n v="0"/>
    <n v="0"/>
    <n v="0"/>
    <n v="0"/>
    <n v="0"/>
    <n v="0"/>
    <n v="0"/>
    <n v="0"/>
  </r>
  <r>
    <x v="4"/>
    <x v="10"/>
    <n v="0"/>
    <n v="0"/>
    <x v="2"/>
    <s v="Østdanmark"/>
    <n v="5931800.6059544124"/>
    <n v="0"/>
    <n v="0"/>
    <n v="0"/>
    <n v="0"/>
    <n v="4680862.224178886"/>
    <n v="0"/>
    <n v="0"/>
    <n v="1250938.3817755263"/>
    <n v="0"/>
    <n v="0"/>
    <n v="0"/>
    <n v="0"/>
    <n v="0"/>
    <n v="0"/>
    <n v="0"/>
    <n v="0"/>
    <n v="0"/>
    <n v="0"/>
  </r>
  <r>
    <x v="5"/>
    <x v="1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2"/>
    <s v="Østdanmark"/>
    <n v="342152.71828788641"/>
    <n v="0"/>
    <n v="0"/>
    <n v="0"/>
    <n v="307937.44645909779"/>
    <n v="12952.924335184269"/>
    <n v="0"/>
    <n v="0"/>
    <n v="21262.347493604349"/>
    <n v="21262.347493604349"/>
    <n v="307937.44645909779"/>
    <n v="4.5799096501223768E-2"/>
    <n v="0.70909635617412037"/>
    <n v="0.66329725967289666"/>
    <n v="4.5799096501223713E-2"/>
    <n v="6378.7042480813043"/>
    <n v="98759.938185810635"/>
    <n v="92381.233937729339"/>
    <n v="6378.7042480812961"/>
  </r>
  <r>
    <x v="7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n v="1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n v="0"/>
    <x v="2"/>
    <s v="Østdanmark"/>
    <n v="619622.98434941436"/>
    <n v="0"/>
    <n v="0"/>
    <n v="0"/>
    <n v="0"/>
    <n v="0"/>
    <n v="0"/>
    <n v="0"/>
    <n v="619622.98434941436"/>
    <n v="0"/>
    <n v="0"/>
    <n v="0"/>
    <n v="0"/>
    <n v="0"/>
    <n v="0"/>
    <n v="0"/>
    <n v="0"/>
    <n v="0"/>
    <n v="0"/>
  </r>
  <r>
    <x v="11"/>
    <x v="10"/>
    <n v="0"/>
    <n v="1"/>
    <x v="2"/>
    <s v="Østdanmark"/>
    <n v="16278.266064377463"/>
    <n v="0"/>
    <n v="0"/>
    <n v="233795.01599247381"/>
    <n v="0"/>
    <n v="0"/>
    <n v="0"/>
    <n v="0"/>
    <n v="-217516.74992809634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2"/>
    <s v="Østdanmark"/>
    <n v="2066928.9300738815"/>
    <n v="1378883.0846623355"/>
    <n v="0"/>
    <n v="0"/>
    <n v="0"/>
    <n v="0"/>
    <n v="0"/>
    <n v="0"/>
    <n v="688045.84541154606"/>
    <n v="688045.84541154606"/>
    <n v="0"/>
    <n v="1.2659183498265685"/>
    <n v="1.2659183498265685"/>
    <n v="0"/>
    <n v="1.2659183498265685"/>
    <n v="192652.83671523293"/>
    <n v="192652.83671523293"/>
    <n v="0"/>
    <n v="192652.83671523293"/>
  </r>
  <r>
    <x v="14"/>
    <x v="10"/>
    <n v="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100361.40981981652"/>
    <n v="0"/>
    <n v="0"/>
    <n v="244869.51675001203"/>
    <n v="0"/>
    <n v="0"/>
    <n v="0"/>
    <n v="0"/>
    <n v="-144508.10693019553"/>
    <n v="0"/>
    <n v="0"/>
    <n v="0"/>
    <n v="0"/>
    <n v="0"/>
    <n v="0"/>
    <n v="0"/>
    <n v="0"/>
    <n v="0"/>
    <n v="0"/>
  </r>
  <r>
    <x v="16"/>
    <x v="5"/>
    <n v="1"/>
    <n v="0"/>
    <x v="2"/>
    <s v="Østdanmark"/>
    <n v="1501603.8609770872"/>
    <n v="87107.539862645164"/>
    <n v="92961.560520988991"/>
    <n v="0"/>
    <n v="0"/>
    <n v="0"/>
    <n v="1321534.7605934532"/>
    <n v="0"/>
    <n v="0"/>
    <n v="0"/>
    <n v="1321534.7605934532"/>
    <n v="0"/>
    <n v="13.659127355928229"/>
    <n v="0"/>
    <n v="13.659127355928229"/>
    <n v="0"/>
    <n v="1123304.5465044351"/>
    <n v="0"/>
    <n v="1123304.5465044351"/>
  </r>
  <r>
    <x v="17"/>
    <x v="1"/>
    <n v="1"/>
    <n v="0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n v="1"/>
    <x v="2"/>
    <s v="Østdanmark"/>
    <n v="0"/>
    <n v="544043.61513285921"/>
    <n v="0"/>
    <n v="0"/>
    <n v="0"/>
    <n v="0"/>
    <n v="0"/>
    <n v="0"/>
    <n v="-544043.61513285921"/>
    <n v="0"/>
    <n v="0"/>
    <n v="0"/>
    <n v="0"/>
    <n v="0"/>
    <n v="0"/>
    <n v="0"/>
    <n v="0"/>
    <n v="0"/>
    <n v="0"/>
  </r>
  <r>
    <x v="19"/>
    <x v="1"/>
    <n v="1"/>
    <n v="0"/>
    <x v="2"/>
    <s v="Østdanmark"/>
    <n v="200523.95597408165"/>
    <n v="0"/>
    <n v="0"/>
    <n v="0"/>
    <n v="0"/>
    <n v="0"/>
    <n v="0"/>
    <n v="0"/>
    <n v="200523.95597408165"/>
    <n v="200523.95597408165"/>
    <n v="0"/>
    <n v="0.8688963693499725"/>
    <n v="0.8688963693499725"/>
    <n v="0"/>
    <n v="0.8688963693499725"/>
    <n v="84220.061509114283"/>
    <n v="84220.061509114283"/>
    <n v="0"/>
    <n v="84220.061509114283"/>
  </r>
  <r>
    <x v="20"/>
    <x v="10"/>
    <n v="0"/>
    <n v="0"/>
    <x v="2"/>
    <s v="Østdanmark"/>
    <n v="150223.49993632184"/>
    <n v="0"/>
    <n v="0"/>
    <n v="0"/>
    <n v="0"/>
    <n v="0"/>
    <n v="0"/>
    <n v="0"/>
    <n v="150223.49993632184"/>
    <n v="0"/>
    <n v="0"/>
    <n v="0"/>
    <n v="0"/>
    <n v="0"/>
    <n v="0"/>
    <n v="0"/>
    <n v="0"/>
    <n v="0"/>
    <n v="0"/>
  </r>
  <r>
    <x v="21"/>
    <x v="10"/>
    <n v="0"/>
    <n v="1"/>
    <x v="2"/>
    <s v="Østdanmark"/>
    <n v="119162.42345688539"/>
    <n v="0"/>
    <n v="0"/>
    <n v="111975.50765955324"/>
    <n v="0"/>
    <n v="0"/>
    <n v="0"/>
    <n v="0"/>
    <n v="7186.9157973321417"/>
    <n v="0"/>
    <n v="0"/>
    <n v="0"/>
    <n v="0"/>
    <n v="0"/>
    <n v="0"/>
    <n v="0"/>
    <n v="0"/>
    <n v="0"/>
    <n v="0"/>
  </r>
  <r>
    <x v="22"/>
    <x v="5"/>
    <n v="1"/>
    <n v="1"/>
    <x v="2"/>
    <s v="Østdanmark"/>
    <n v="2365391.4259483349"/>
    <n v="662441.233045817"/>
    <n v="0"/>
    <n v="268249.01834925939"/>
    <n v="0"/>
    <n v="0"/>
    <n v="0"/>
    <n v="0"/>
    <n v="1434701.1745532583"/>
    <n v="1434701.1745532583"/>
    <n v="0"/>
    <n v="4.913650664680473"/>
    <n v="4.913650664680473"/>
    <n v="0"/>
    <n v="4.913650664680473"/>
    <n v="444757.36411151011"/>
    <n v="444757.36411151011"/>
    <n v="0"/>
    <n v="444757.36411151011"/>
  </r>
  <r>
    <x v="23"/>
    <x v="10"/>
    <n v="0"/>
    <n v="0"/>
    <x v="2"/>
    <s v="Østdanmark"/>
    <n v="0"/>
    <n v="0"/>
    <n v="0"/>
    <n v="0"/>
    <n v="0"/>
    <n v="288937.99053379206"/>
    <n v="0"/>
    <n v="0"/>
    <n v="-288937.99053379206"/>
    <n v="0"/>
    <n v="0"/>
    <n v="0"/>
    <n v="0"/>
    <n v="0"/>
    <n v="0"/>
    <n v="0"/>
    <n v="0"/>
    <n v="0"/>
    <n v="0"/>
  </r>
  <r>
    <x v="24"/>
    <x v="2"/>
    <n v="1"/>
    <n v="0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n v="0"/>
    <x v="2"/>
    <s v="Østdanmark"/>
    <n v="113070.46736338305"/>
    <n v="170783.26471332053"/>
    <n v="0"/>
    <n v="0"/>
    <n v="0"/>
    <n v="0"/>
    <n v="0"/>
    <n v="0"/>
    <n v="-57712.797349937478"/>
    <n v="0"/>
    <n v="0"/>
    <n v="0"/>
    <n v="0"/>
    <n v="0"/>
    <n v="0"/>
    <n v="0"/>
    <n v="0"/>
    <n v="0"/>
    <n v="0"/>
  </r>
  <r>
    <x v="26"/>
    <x v="4"/>
    <n v="1"/>
    <n v="1"/>
    <x v="2"/>
    <s v="Østdanmark"/>
    <n v="385351.77925728471"/>
    <n v="637409.17060556682"/>
    <n v="0"/>
    <n v="0"/>
    <n v="0"/>
    <n v="0"/>
    <n v="0"/>
    <n v="0"/>
    <n v="-252057.39134828211"/>
    <n v="0"/>
    <n v="0"/>
    <n v="0"/>
    <n v="0"/>
    <n v="0"/>
    <n v="0"/>
    <n v="0"/>
    <n v="0"/>
    <n v="0"/>
    <n v="0"/>
  </r>
  <r>
    <x v="27"/>
    <x v="10"/>
    <n v="0"/>
    <n v="1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n v="1"/>
    <x v="2"/>
    <s v="Østdanmark"/>
    <n v="407929.68166494544"/>
    <n v="0"/>
    <n v="0"/>
    <n v="0"/>
    <n v="0"/>
    <n v="0"/>
    <n v="0"/>
    <n v="0"/>
    <n v="407929.68166494544"/>
    <n v="0"/>
    <n v="0"/>
    <n v="0"/>
    <n v="0"/>
    <n v="0"/>
    <n v="0"/>
    <n v="0"/>
    <n v="0"/>
    <n v="0"/>
    <n v="0"/>
  </r>
  <r>
    <x v="31"/>
    <x v="7"/>
    <n v="1"/>
    <n v="0"/>
    <x v="2"/>
    <s v="Østdanmark"/>
    <n v="36959.622363047813"/>
    <n v="0"/>
    <n v="0"/>
    <n v="0"/>
    <n v="0"/>
    <n v="0"/>
    <n v="36959.622363047813"/>
    <n v="0"/>
    <n v="0"/>
    <n v="0"/>
    <n v="36959.622363047813"/>
    <n v="0"/>
    <n v="0.68005705148007967"/>
    <n v="0"/>
    <n v="0.68005705148007967"/>
    <n v="0"/>
    <n v="15338.243280664843"/>
    <n v="0"/>
    <n v="15338.243280664843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n v="0"/>
    <x v="2"/>
    <s v="Østdanmark"/>
    <n v="200042.64483548011"/>
    <n v="0"/>
    <n v="0"/>
    <n v="0"/>
    <n v="0"/>
    <n v="0"/>
    <n v="0"/>
    <n v="200042.64483548011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00021.32241774006"/>
    <n v="24123.640819434757"/>
    <n v="0"/>
    <n v="0"/>
    <n v="0"/>
    <n v="0"/>
    <n v="0"/>
    <n v="0"/>
    <n v="75897.681598305295"/>
    <n v="0"/>
    <n v="0"/>
    <n v="0"/>
    <n v="0"/>
    <n v="0"/>
    <n v="0"/>
    <n v="0"/>
    <n v="0"/>
    <n v="0"/>
    <n v="0"/>
  </r>
  <r>
    <x v="37"/>
    <x v="9"/>
    <n v="1"/>
    <n v="1"/>
    <x v="2"/>
    <s v="Østdanmark"/>
    <n v="64013.646347353635"/>
    <n v="0"/>
    <n v="0"/>
    <n v="0"/>
    <n v="0"/>
    <n v="0"/>
    <n v="64013.646347353635"/>
    <n v="0"/>
    <n v="0"/>
    <n v="0"/>
    <n v="64013.646347353635"/>
    <n v="0"/>
    <n v="2.240477622157377"/>
    <n v="0"/>
    <n v="2.240477622157377"/>
    <n v="0"/>
    <n v="0"/>
    <n v="0"/>
    <n v="0"/>
  </r>
  <r>
    <x v="38"/>
    <x v="4"/>
    <n v="1"/>
    <n v="1"/>
    <x v="2"/>
    <s v="Østdanmark"/>
    <n v="2337477.1247217245"/>
    <n v="94778.655771754129"/>
    <n v="0"/>
    <n v="0"/>
    <n v="0"/>
    <n v="0"/>
    <n v="0"/>
    <n v="0"/>
    <n v="2242698.4689499703"/>
    <n v="1830597.0172306281"/>
    <n v="0"/>
    <n v="4.9683135286446136"/>
    <n v="4.9683135286446136"/>
    <n v="0"/>
    <n v="4.9683135286446136"/>
    <n v="366119.40344612562"/>
    <n v="366119.40344612562"/>
    <n v="0"/>
    <n v="366119.40344612562"/>
  </r>
  <r>
    <x v="39"/>
    <x v="10"/>
    <n v="0"/>
    <n v="0"/>
    <x v="2"/>
    <s v="Østdanmark"/>
    <n v="20186.20419193256"/>
    <n v="0"/>
    <n v="0"/>
    <n v="0"/>
    <n v="0"/>
    <n v="0"/>
    <n v="0"/>
    <n v="0"/>
    <n v="20186.20419193256"/>
    <n v="0"/>
    <n v="0"/>
    <n v="0"/>
    <n v="0"/>
    <n v="0"/>
    <n v="0"/>
    <n v="0"/>
    <n v="0"/>
    <n v="0"/>
    <n v="0"/>
  </r>
  <r>
    <x v="40"/>
    <x v="10"/>
    <n v="0"/>
    <n v="0"/>
    <x v="2"/>
    <s v="Østdanmark"/>
    <n v="16053.966219959522"/>
    <n v="4441.1723684315039"/>
    <n v="0"/>
    <n v="0"/>
    <n v="0"/>
    <n v="0"/>
    <n v="0"/>
    <n v="0"/>
    <n v="11612.793851528018"/>
    <n v="0"/>
    <n v="0"/>
    <n v="0"/>
    <n v="0"/>
    <n v="0"/>
    <n v="0"/>
    <n v="0"/>
    <n v="0"/>
    <n v="0"/>
    <n v="0"/>
  </r>
  <r>
    <x v="41"/>
    <x v="1"/>
    <n v="1"/>
    <n v="0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</r>
  <r>
    <x v="42"/>
    <x v="2"/>
    <n v="1"/>
    <n v="0"/>
    <x v="2"/>
    <s v="Østdanmark"/>
    <n v="1882077.697473543"/>
    <n v="0"/>
    <n v="0"/>
    <n v="0"/>
    <n v="1693869.9277261887"/>
    <n v="188207.76974735426"/>
    <n v="0"/>
    <n v="0"/>
    <n v="0"/>
    <n v="0"/>
    <n v="1693869.9277261887"/>
    <n v="0"/>
    <n v="0.72971916486444222"/>
    <n v="0.72971916486444222"/>
    <n v="0"/>
    <n v="0"/>
    <n v="84693.496386309445"/>
    <n v="84693.496386309445"/>
    <n v="0"/>
  </r>
  <r>
    <x v="43"/>
    <x v="10"/>
    <n v="0"/>
    <n v="1"/>
    <x v="2"/>
    <s v="Østdanmark"/>
    <n v="174765.59603194657"/>
    <n v="0"/>
    <n v="0"/>
    <n v="110474.29755686472"/>
    <n v="0"/>
    <n v="0"/>
    <n v="0"/>
    <n v="0"/>
    <n v="64291.298475081843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37918.49942824384"/>
    <n v="0"/>
    <n v="0"/>
    <n v="0"/>
    <n v="0"/>
    <n v="0"/>
    <n v="637918.49942824384"/>
    <n v="0"/>
    <n v="0"/>
    <n v="0"/>
    <n v="637918.49942824384"/>
    <n v="0"/>
    <n v="9.2457157245424533"/>
    <n v="0"/>
    <n v="9.2457157245424533"/>
    <n v="0"/>
    <n v="315503.85784221895"/>
    <n v="0"/>
    <n v="315503.85784221895"/>
  </r>
  <r>
    <x v="47"/>
    <x v="10"/>
    <n v="0"/>
    <n v="0"/>
    <x v="2"/>
    <s v="Østdanmark"/>
    <n v="181156.38422629872"/>
    <n v="0"/>
    <n v="0"/>
    <n v="0"/>
    <n v="0"/>
    <n v="0"/>
    <n v="0"/>
    <n v="181156.3842262987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0">
      <pivotArea outline="0" collapsedLevelsAreSubtotals="1" fieldPosition="0"/>
    </format>
  </formats>
  <chartFormats count="117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38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7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B2" sqref="B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06" t="s">
        <v>269</v>
      </c>
      <c r="B1" s="406"/>
      <c r="D1" s="73" t="s">
        <v>282</v>
      </c>
    </row>
    <row r="2" spans="1:5" x14ac:dyDescent="0.25">
      <c r="A2" s="6" t="s">
        <v>0</v>
      </c>
      <c r="B2" s="201" t="s">
        <v>336</v>
      </c>
    </row>
    <row r="4" spans="1:5" ht="30" customHeight="1" thickBot="1" x14ac:dyDescent="0.3">
      <c r="A4" s="405" t="s">
        <v>268</v>
      </c>
      <c r="B4" s="405"/>
      <c r="D4" s="73"/>
    </row>
    <row r="5" spans="1:5" ht="15.75" thickTop="1" x14ac:dyDescent="0.25">
      <c r="A5" s="233" t="s">
        <v>85</v>
      </c>
      <c r="B5" s="232" t="s">
        <v>302</v>
      </c>
      <c r="D5" s="189" t="s">
        <v>43</v>
      </c>
      <c r="E5" s="190"/>
    </row>
    <row r="6" spans="1:5" x14ac:dyDescent="0.25">
      <c r="A6" s="184" t="s">
        <v>83</v>
      </c>
      <c r="B6" s="185" t="s">
        <v>256</v>
      </c>
      <c r="D6" s="191" t="str" cm="1">
        <f t="array" ref="D6">[1]!Jordbund1</f>
        <v>JB1-10</v>
      </c>
      <c r="E6" s="192" t="s">
        <v>44</v>
      </c>
    </row>
    <row r="7" spans="1:5" x14ac:dyDescent="0.25">
      <c r="A7" s="184"/>
      <c r="B7" s="185" t="s">
        <v>2</v>
      </c>
      <c r="D7" s="191" t="str" cm="1">
        <f t="array" ref="D7">[1]!Organ6</f>
        <v>OC6</v>
      </c>
      <c r="E7" s="192" t="s">
        <v>45</v>
      </c>
    </row>
    <row r="8" spans="1:5" x14ac:dyDescent="0.25">
      <c r="A8" s="199" t="s">
        <v>91</v>
      </c>
      <c r="B8" s="185" t="s">
        <v>257</v>
      </c>
      <c r="D8" s="191" t="str" cm="1">
        <f t="array" ref="D8">[1]!Organ12</f>
        <v>OC12</v>
      </c>
      <c r="E8" s="192" t="s">
        <v>46</v>
      </c>
    </row>
    <row r="9" spans="1:5" x14ac:dyDescent="0.25">
      <c r="A9" s="184" t="s">
        <v>92</v>
      </c>
      <c r="B9" s="185" t="s">
        <v>258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9" t="s">
        <v>68</v>
      </c>
      <c r="B11" s="200" t="s">
        <v>259</v>
      </c>
      <c r="D11" s="191" t="str" cm="1">
        <f t="array" ref="D11">[1]!Bebyg</f>
        <v>Bebyggelse &amp; infrastruktur</v>
      </c>
      <c r="E11" s="192"/>
    </row>
    <row r="12" spans="1:5" x14ac:dyDescent="0.25">
      <c r="A12" s="184" t="s">
        <v>253</v>
      </c>
      <c r="B12" s="185" t="s">
        <v>260</v>
      </c>
      <c r="D12" s="191" t="str" cm="1">
        <f t="array" ref="D12">[1]!Afgrøder</f>
        <v>Landbrugsafgrøder</v>
      </c>
      <c r="E12" s="192"/>
    </row>
    <row r="13" spans="1:5" x14ac:dyDescent="0.25">
      <c r="A13" s="184"/>
      <c r="B13" s="185"/>
      <c r="D13" s="191" t="str" cm="1">
        <f t="array" ref="D13">[1]!SkovAreal</f>
        <v>Skov</v>
      </c>
      <c r="E13" s="192"/>
    </row>
    <row r="14" spans="1:5" x14ac:dyDescent="0.25">
      <c r="A14" s="199" t="s">
        <v>69</v>
      </c>
      <c r="B14" s="200" t="s">
        <v>261</v>
      </c>
      <c r="D14" s="191" t="str" cm="1">
        <f t="array" ref="D14">[1]!NaturAreal</f>
        <v>Natur</v>
      </c>
      <c r="E14" s="192"/>
    </row>
    <row r="15" spans="1:5" x14ac:dyDescent="0.25">
      <c r="A15" s="184" t="s">
        <v>70</v>
      </c>
      <c r="B15" s="185" t="s">
        <v>262</v>
      </c>
      <c r="D15" s="191" t="str" cm="1">
        <f t="array" ref="D15">[1]!IKareal</f>
        <v>Ikke klassificeret</v>
      </c>
      <c r="E15" s="192"/>
    </row>
    <row r="16" spans="1:5" x14ac:dyDescent="0.25">
      <c r="A16" s="184" t="s">
        <v>71</v>
      </c>
      <c r="B16" s="185"/>
      <c r="D16" s="194"/>
      <c r="E16" s="192"/>
    </row>
    <row r="17" spans="1:5" x14ac:dyDescent="0.25">
      <c r="A17" s="184" t="s">
        <v>72</v>
      </c>
      <c r="B17" s="200" t="s">
        <v>266</v>
      </c>
      <c r="D17" s="195" t="s">
        <v>93</v>
      </c>
      <c r="E17" s="192"/>
    </row>
    <row r="18" spans="1:5" x14ac:dyDescent="0.25">
      <c r="A18" s="184" t="s">
        <v>73</v>
      </c>
      <c r="B18" s="407" t="s">
        <v>270</v>
      </c>
      <c r="D18" s="191" cm="1">
        <f t="array" ref="D18">[1]!År1</f>
        <v>2019</v>
      </c>
      <c r="E18" s="192"/>
    </row>
    <row r="19" spans="1:5" x14ac:dyDescent="0.25">
      <c r="A19" s="184" t="s">
        <v>254</v>
      </c>
      <c r="B19" s="407"/>
      <c r="D19" s="191" cm="1">
        <f t="array" ref="D19">[1]!År2</f>
        <v>2030</v>
      </c>
      <c r="E19" s="192"/>
    </row>
    <row r="20" spans="1:5" ht="15.75" thickBot="1" x14ac:dyDescent="0.3">
      <c r="A20" s="184" t="s">
        <v>255</v>
      </c>
      <c r="B20" s="185"/>
      <c r="D20" s="196" cm="1">
        <f t="array" ref="D20">[1]!År3</f>
        <v>2050</v>
      </c>
      <c r="E20" s="197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4" t="s">
        <v>303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zoomScale="55" zoomScaleNormal="55" workbookViewId="0">
      <selection activeCell="B12" sqref="B1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31" t="s">
        <v>296</v>
      </c>
      <c r="B1" s="230"/>
      <c r="C1" s="408" t="s">
        <v>295</v>
      </c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  <c r="Q1" s="408"/>
      <c r="R1" s="408"/>
    </row>
    <row r="2" spans="1:18" ht="15" customHeight="1" x14ac:dyDescent="0.25">
      <c r="A2" s="230"/>
      <c r="B2" s="230"/>
      <c r="C2" s="408"/>
      <c r="D2" s="408"/>
      <c r="E2" s="408"/>
      <c r="F2" s="408"/>
      <c r="G2" s="408"/>
      <c r="H2" s="408"/>
      <c r="I2" s="408"/>
      <c r="J2" s="408"/>
      <c r="K2" s="408"/>
      <c r="L2" s="408"/>
      <c r="M2" s="408"/>
      <c r="N2" s="408"/>
      <c r="O2" s="408"/>
      <c r="P2" s="408"/>
      <c r="Q2" s="408"/>
      <c r="R2" s="408"/>
    </row>
    <row r="3" spans="1:18" x14ac:dyDescent="0.25">
      <c r="A3" s="73"/>
    </row>
    <row r="34" spans="16:20" ht="15.75" x14ac:dyDescent="0.25">
      <c r="P34" s="318" t="s">
        <v>93</v>
      </c>
      <c r="Q34" s="318" t="s">
        <v>333</v>
      </c>
      <c r="R34" s="318" t="s">
        <v>334</v>
      </c>
    </row>
    <row r="35" spans="16:20" ht="15.75" x14ac:dyDescent="0.25">
      <c r="P35" s="318">
        <v>1990</v>
      </c>
      <c r="Q35" s="389">
        <v>20000000</v>
      </c>
      <c r="R35" s="319"/>
    </row>
    <row r="36" spans="16:20" ht="15.75" x14ac:dyDescent="0.25">
      <c r="P36" s="318">
        <f>År1</f>
        <v>2019</v>
      </c>
      <c r="Q36" s="390">
        <f>GETPIVOTDATA("Total",'CO2-pivot'!$A$1,"År",P36,"Sted2","CO2 - atmosfære")</f>
        <v>13910380.018766819</v>
      </c>
      <c r="R36" s="319">
        <f>1-Q36/$Q$35</f>
        <v>0.30448099906165904</v>
      </c>
    </row>
    <row r="37" spans="16:20" ht="15.75" x14ac:dyDescent="0.25">
      <c r="P37" s="318">
        <f>År2</f>
        <v>2030</v>
      </c>
      <c r="Q37" s="390">
        <f>GETPIVOTDATA("Total",'CO2-pivot'!$A$1,"År",P37,"Sted2","CO2 - atmosfære")</f>
        <v>11635959.929105373</v>
      </c>
      <c r="R37" s="319">
        <f t="shared" ref="R37:R38" si="0">1-Q37/$Q$35</f>
        <v>0.41820200354473136</v>
      </c>
      <c r="T37" s="387"/>
    </row>
    <row r="38" spans="16:20" ht="15.75" x14ac:dyDescent="0.25">
      <c r="P38" s="318">
        <f>År3</f>
        <v>2050</v>
      </c>
      <c r="Q38" s="390">
        <f>GETPIVOTDATA("Total",'CO2-pivot'!$A$1,"År",P38,"Sted2","CO2 - atmosfære")</f>
        <v>5982305.027657412</v>
      </c>
      <c r="R38" s="319">
        <f t="shared" si="0"/>
        <v>0.70088474861712946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335</v>
      </c>
    </row>
    <row r="2" spans="1:1" x14ac:dyDescent="0.25">
      <c r="A2" s="101">
        <v>2019</v>
      </c>
    </row>
    <row r="3" spans="1:1" x14ac:dyDescent="0.25">
      <c r="A3" s="348">
        <v>2030</v>
      </c>
    </row>
    <row r="4" spans="1:1" x14ac:dyDescent="0.25">
      <c r="A4" s="341">
        <v>2050</v>
      </c>
    </row>
    <row r="5" spans="1:1" x14ac:dyDescent="0.25">
      <c r="A5" s="331" t="s">
        <v>15</v>
      </c>
    </row>
    <row r="6" spans="1:1" x14ac:dyDescent="0.25">
      <c r="A6" s="349" t="s">
        <v>49</v>
      </c>
    </row>
    <row r="7" spans="1:1" x14ac:dyDescent="0.25">
      <c r="A7" s="347" t="s">
        <v>182</v>
      </c>
    </row>
    <row r="8" spans="1:1" x14ac:dyDescent="0.25">
      <c r="A8" s="342" t="s">
        <v>32</v>
      </c>
    </row>
    <row r="9" spans="1:1" x14ac:dyDescent="0.25">
      <c r="A9" s="329" t="s">
        <v>102</v>
      </c>
    </row>
    <row r="10" spans="1:1" x14ac:dyDescent="0.25">
      <c r="A10" s="350" t="s">
        <v>109</v>
      </c>
    </row>
    <row r="11" spans="1:1" x14ac:dyDescent="0.25">
      <c r="A11" s="343" t="s">
        <v>261</v>
      </c>
    </row>
    <row r="12" spans="1:1" x14ac:dyDescent="0.25">
      <c r="A12" s="351" t="s">
        <v>110</v>
      </c>
    </row>
    <row r="13" spans="1:1" x14ac:dyDescent="0.25">
      <c r="A13" s="329" t="s">
        <v>230</v>
      </c>
    </row>
    <row r="14" spans="1:1" x14ac:dyDescent="0.25">
      <c r="A14" s="352" t="s">
        <v>208</v>
      </c>
    </row>
    <row r="15" spans="1:1" x14ac:dyDescent="0.25">
      <c r="A15" s="334" t="s">
        <v>111</v>
      </c>
    </row>
    <row r="16" spans="1:1" x14ac:dyDescent="0.25">
      <c r="A16" s="353" t="s">
        <v>101</v>
      </c>
    </row>
    <row r="17" spans="1:1" x14ac:dyDescent="0.25">
      <c r="A17" s="354" t="s">
        <v>204</v>
      </c>
    </row>
    <row r="18" spans="1:1" x14ac:dyDescent="0.25">
      <c r="A18" s="355" t="s">
        <v>19</v>
      </c>
    </row>
    <row r="19" spans="1:1" x14ac:dyDescent="0.25">
      <c r="A19" s="97" t="s">
        <v>137</v>
      </c>
    </row>
    <row r="20" spans="1:1" x14ac:dyDescent="0.25">
      <c r="A20" s="371" t="s">
        <v>96</v>
      </c>
    </row>
    <row r="21" spans="1:1" x14ac:dyDescent="0.25">
      <c r="A21" s="385" t="s">
        <v>113</v>
      </c>
    </row>
    <row r="22" spans="1:1" x14ac:dyDescent="0.25">
      <c r="A22" s="386" t="s">
        <v>54</v>
      </c>
    </row>
    <row r="23" spans="1:1" x14ac:dyDescent="0.25">
      <c r="A23" s="328" t="s">
        <v>158</v>
      </c>
    </row>
    <row r="24" spans="1:1" x14ac:dyDescent="0.25">
      <c r="A24" s="344" t="s">
        <v>51</v>
      </c>
    </row>
    <row r="25" spans="1:1" x14ac:dyDescent="0.25">
      <c r="A25" s="344" t="s">
        <v>224</v>
      </c>
    </row>
    <row r="26" spans="1:1" x14ac:dyDescent="0.25">
      <c r="A26" s="332" t="s">
        <v>203</v>
      </c>
    </row>
    <row r="27" spans="1:1" x14ac:dyDescent="0.25">
      <c r="A27" s="383" t="s">
        <v>6</v>
      </c>
    </row>
    <row r="28" spans="1:1" x14ac:dyDescent="0.25">
      <c r="A28" s="327" t="s">
        <v>67</v>
      </c>
    </row>
    <row r="29" spans="1:1" x14ac:dyDescent="0.25">
      <c r="A29" s="327" t="s">
        <v>227</v>
      </c>
    </row>
    <row r="30" spans="1:1" x14ac:dyDescent="0.25">
      <c r="A30" s="333" t="s">
        <v>200</v>
      </c>
    </row>
    <row r="31" spans="1:1" x14ac:dyDescent="0.25">
      <c r="A31" s="326" t="s">
        <v>226</v>
      </c>
    </row>
    <row r="32" spans="1:1" x14ac:dyDescent="0.25">
      <c r="A32" s="384" t="s">
        <v>162</v>
      </c>
    </row>
    <row r="33" spans="1:1" x14ac:dyDescent="0.25">
      <c r="A33" s="335" t="s">
        <v>193</v>
      </c>
    </row>
    <row r="34" spans="1:1" x14ac:dyDescent="0.25">
      <c r="A34" s="330" t="s">
        <v>222</v>
      </c>
    </row>
    <row r="35" spans="1:1" x14ac:dyDescent="0.25">
      <c r="A35" s="339" t="s">
        <v>11</v>
      </c>
    </row>
    <row r="36" spans="1:1" x14ac:dyDescent="0.25">
      <c r="A36" s="370" t="s">
        <v>159</v>
      </c>
    </row>
    <row r="37" spans="1:1" x14ac:dyDescent="0.25">
      <c r="A37" s="324" t="s">
        <v>103</v>
      </c>
    </row>
    <row r="38" spans="1:1" x14ac:dyDescent="0.25">
      <c r="A38" s="379" t="s">
        <v>56</v>
      </c>
    </row>
    <row r="39" spans="1:1" x14ac:dyDescent="0.25">
      <c r="A39" s="380" t="s">
        <v>12</v>
      </c>
    </row>
    <row r="40" spans="1:1" x14ac:dyDescent="0.25">
      <c r="A40" s="381" t="s">
        <v>48</v>
      </c>
    </row>
    <row r="41" spans="1:1" x14ac:dyDescent="0.25">
      <c r="A41" s="358" t="s">
        <v>115</v>
      </c>
    </row>
    <row r="42" spans="1:1" x14ac:dyDescent="0.25">
      <c r="A42" s="356" t="s">
        <v>136</v>
      </c>
    </row>
    <row r="43" spans="1:1" x14ac:dyDescent="0.25">
      <c r="A43" s="341" t="s">
        <v>9</v>
      </c>
    </row>
    <row r="44" spans="1:1" x14ac:dyDescent="0.25">
      <c r="A44" s="382" t="s">
        <v>108</v>
      </c>
    </row>
    <row r="45" spans="1:1" x14ac:dyDescent="0.25">
      <c r="A45" s="378" t="s">
        <v>53</v>
      </c>
    </row>
    <row r="46" spans="1:1" x14ac:dyDescent="0.25">
      <c r="A46" s="341" t="s">
        <v>194</v>
      </c>
    </row>
    <row r="47" spans="1:1" x14ac:dyDescent="0.25">
      <c r="A47" s="377" t="s">
        <v>116</v>
      </c>
    </row>
    <row r="48" spans="1:1" x14ac:dyDescent="0.25">
      <c r="A48" s="376" t="s">
        <v>106</v>
      </c>
    </row>
    <row r="49" spans="1:1" x14ac:dyDescent="0.25">
      <c r="A49" s="340" t="s">
        <v>33</v>
      </c>
    </row>
    <row r="50" spans="1:1" x14ac:dyDescent="0.25">
      <c r="A50" s="372" t="s">
        <v>14</v>
      </c>
    </row>
    <row r="51" spans="1:1" x14ac:dyDescent="0.25">
      <c r="A51" s="373" t="s">
        <v>55</v>
      </c>
    </row>
    <row r="52" spans="1:1" x14ac:dyDescent="0.25">
      <c r="A52" s="374" t="s">
        <v>38</v>
      </c>
    </row>
    <row r="53" spans="1:1" x14ac:dyDescent="0.25">
      <c r="A53" s="375" t="s">
        <v>95</v>
      </c>
    </row>
    <row r="54" spans="1:1" x14ac:dyDescent="0.25">
      <c r="A54" s="323" t="s">
        <v>306</v>
      </c>
    </row>
    <row r="55" spans="1:1" x14ac:dyDescent="0.25">
      <c r="A55" s="358" t="s">
        <v>307</v>
      </c>
    </row>
    <row r="56" spans="1:1" x14ac:dyDescent="0.25">
      <c r="A56" s="338" t="s">
        <v>310</v>
      </c>
    </row>
    <row r="57" spans="1:1" x14ac:dyDescent="0.25">
      <c r="A57" s="323" t="s">
        <v>312</v>
      </c>
    </row>
    <row r="58" spans="1:1" x14ac:dyDescent="0.25">
      <c r="A58" s="359" t="s">
        <v>117</v>
      </c>
    </row>
    <row r="59" spans="1:1" x14ac:dyDescent="0.25">
      <c r="A59" s="361" t="s">
        <v>50</v>
      </c>
    </row>
    <row r="60" spans="1:1" x14ac:dyDescent="0.25">
      <c r="A60" s="362" t="s">
        <v>238</v>
      </c>
    </row>
    <row r="61" spans="1:1" x14ac:dyDescent="0.25">
      <c r="A61" s="363" t="s">
        <v>231</v>
      </c>
    </row>
    <row r="62" spans="1:1" x14ac:dyDescent="0.25">
      <c r="A62" s="364" t="s">
        <v>52</v>
      </c>
    </row>
    <row r="63" spans="1:1" x14ac:dyDescent="0.25">
      <c r="A63" s="336" t="s">
        <v>10</v>
      </c>
    </row>
    <row r="64" spans="1:1" x14ac:dyDescent="0.25">
      <c r="A64" s="100" t="s">
        <v>176</v>
      </c>
    </row>
    <row r="65" spans="1:8" x14ac:dyDescent="0.25">
      <c r="A65" s="346" t="s">
        <v>177</v>
      </c>
    </row>
    <row r="66" spans="1:8" x14ac:dyDescent="0.25">
      <c r="A66" s="341" t="s">
        <v>178</v>
      </c>
    </row>
    <row r="67" spans="1:8" x14ac:dyDescent="0.25">
      <c r="A67" s="336" t="s">
        <v>179</v>
      </c>
    </row>
    <row r="68" spans="1:8" x14ac:dyDescent="0.25">
      <c r="A68" s="340" t="s">
        <v>180</v>
      </c>
    </row>
    <row r="69" spans="1:8" x14ac:dyDescent="0.25">
      <c r="A69" s="365" t="s">
        <v>121</v>
      </c>
    </row>
    <row r="70" spans="1:8" x14ac:dyDescent="0.25">
      <c r="A70" s="366" t="s">
        <v>107</v>
      </c>
    </row>
    <row r="71" spans="1:8" x14ac:dyDescent="0.25">
      <c r="A71" s="367" t="s">
        <v>140</v>
      </c>
    </row>
    <row r="72" spans="1:8" x14ac:dyDescent="0.25">
      <c r="A72" s="357" t="s">
        <v>135</v>
      </c>
    </row>
    <row r="73" spans="1:8" x14ac:dyDescent="0.25">
      <c r="A73" s="368" t="s">
        <v>13</v>
      </c>
    </row>
    <row r="74" spans="1:8" x14ac:dyDescent="0.25">
      <c r="A74" s="360" t="s">
        <v>99</v>
      </c>
      <c r="H74" s="345" t="s">
        <v>104</v>
      </c>
    </row>
    <row r="75" spans="1:8" x14ac:dyDescent="0.25">
      <c r="A75" s="369" t="s">
        <v>119</v>
      </c>
    </row>
    <row r="76" spans="1:8" x14ac:dyDescent="0.25">
      <c r="A76" s="325" t="s">
        <v>118</v>
      </c>
    </row>
    <row r="77" spans="1:8" x14ac:dyDescent="0.25">
      <c r="A77" s="337" t="s">
        <v>332</v>
      </c>
    </row>
    <row r="78" spans="1:8" x14ac:dyDescent="0.25">
      <c r="A78" s="325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7" t="s">
        <v>271</v>
      </c>
      <c r="B1" s="73" t="s">
        <v>297</v>
      </c>
    </row>
    <row r="2" spans="1:22" ht="42.95" customHeight="1" x14ac:dyDescent="0.25">
      <c r="A2" s="202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D3/($D$2-2023)*($C$2-2023)</f>
        <v>20282.370370370369</v>
      </c>
      <c r="D3" s="9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 t="shared" ref="C4" si="0">D4/($D$2-2023)*($C$2-2023)</f>
        <v>5643.5555555555547</v>
      </c>
      <c r="D4" s="21">
        <f>100000-D3</f>
        <v>21768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8"/>
      <c r="C5" s="9">
        <f>D5/($D$2-2023)*($C$2-2023)</f>
        <v>64814.814814814818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1">SUM(J25,J35)</f>
        <v>592120</v>
      </c>
      <c r="K5" s="16">
        <f t="shared" si="1"/>
        <v>0</v>
      </c>
      <c r="L5" s="16">
        <f t="shared" si="1"/>
        <v>0</v>
      </c>
      <c r="M5" s="17">
        <f t="shared" si="1"/>
        <v>592120</v>
      </c>
      <c r="N5" s="17">
        <f t="shared" si="1"/>
        <v>0</v>
      </c>
      <c r="O5" s="17">
        <f t="shared" si="1"/>
        <v>0</v>
      </c>
      <c r="P5" s="17">
        <f t="shared" si="1"/>
        <v>592120</v>
      </c>
      <c r="Q5" s="17">
        <f t="shared" si="1"/>
        <v>0</v>
      </c>
      <c r="R5" s="17">
        <f t="shared" si="1"/>
        <v>0</v>
      </c>
      <c r="T5" s="14">
        <f>SUMIFS($J5:$R5,$J$3:$R$3,T$3)/4293300</f>
        <v>0.13791721985419142</v>
      </c>
      <c r="U5" s="14">
        <f t="shared" ref="U5:V9" si="2">SUMIFS($J5:$R5,$J$3:$R$3,U$3)/4293300</f>
        <v>0.13791721985419142</v>
      </c>
      <c r="V5" s="14">
        <f t="shared" si="2"/>
        <v>0.13791721985419142</v>
      </c>
    </row>
    <row r="6" spans="1:22" x14ac:dyDescent="0.25">
      <c r="A6" s="2"/>
      <c r="B6" s="2"/>
      <c r="C6" s="9"/>
      <c r="D6" s="9"/>
      <c r="E6" s="9"/>
      <c r="F6" s="104"/>
      <c r="G6" s="104"/>
      <c r="I6" s="25" t="str">
        <f>Afgrøder</f>
        <v>Landbrugsafgrøder</v>
      </c>
      <c r="J6" s="16">
        <f t="shared" ref="J6:R6" si="3">SUM(J26,J36)</f>
        <v>2399936</v>
      </c>
      <c r="K6" s="16">
        <f t="shared" si="3"/>
        <v>100502</v>
      </c>
      <c r="L6" s="16">
        <f t="shared" si="3"/>
        <v>78232</v>
      </c>
      <c r="M6" s="17">
        <f t="shared" si="3"/>
        <v>2335121.1851851852</v>
      </c>
      <c r="N6" s="17">
        <f t="shared" si="3"/>
        <v>94858.444444444453</v>
      </c>
      <c r="O6" s="17">
        <f t="shared" si="3"/>
        <v>57949.62962962962</v>
      </c>
      <c r="P6" s="17">
        <f t="shared" si="3"/>
        <v>2149935.9999999995</v>
      </c>
      <c r="Q6" s="17">
        <f t="shared" si="3"/>
        <v>78734</v>
      </c>
      <c r="R6" s="17">
        <f t="shared" si="3"/>
        <v>0</v>
      </c>
      <c r="T6" s="14">
        <f t="shared" ref="T6:T9" si="4">SUMIFS($J6:$R6,$J$3:$R$3,T$3)/4293300</f>
        <v>0.60062655765960915</v>
      </c>
      <c r="U6" s="14">
        <f t="shared" si="2"/>
        <v>0.57949112786417423</v>
      </c>
      <c r="V6" s="14">
        <f t="shared" si="2"/>
        <v>0.51910418559150295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5">SUM(J27,J37)</f>
        <v>562410</v>
      </c>
      <c r="K7" s="16">
        <f t="shared" si="5"/>
        <v>0</v>
      </c>
      <c r="L7" s="16">
        <f t="shared" si="5"/>
        <v>0</v>
      </c>
      <c r="M7" s="17">
        <f t="shared" si="5"/>
        <v>627224.81481481483</v>
      </c>
      <c r="N7" s="17">
        <f t="shared" si="5"/>
        <v>0</v>
      </c>
      <c r="O7" s="17">
        <f t="shared" si="5"/>
        <v>0</v>
      </c>
      <c r="P7" s="17">
        <f t="shared" si="5"/>
        <v>812410</v>
      </c>
      <c r="Q7" s="17">
        <f t="shared" si="5"/>
        <v>0</v>
      </c>
      <c r="R7" s="17">
        <f t="shared" si="5"/>
        <v>0</v>
      </c>
      <c r="T7" s="14">
        <f t="shared" si="4"/>
        <v>0.13099713507092448</v>
      </c>
      <c r="U7" s="14">
        <f t="shared" si="2"/>
        <v>0.14609387063909227</v>
      </c>
      <c r="V7" s="14">
        <f t="shared" si="2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6">SUM(J28,J38)</f>
        <v>393324.00000000006</v>
      </c>
      <c r="K8" s="16">
        <f t="shared" si="6"/>
        <v>61498</v>
      </c>
      <c r="L8" s="16">
        <f t="shared" si="6"/>
        <v>50768</v>
      </c>
      <c r="M8" s="17">
        <f t="shared" si="6"/>
        <v>393324.00000000006</v>
      </c>
      <c r="N8" s="17">
        <f t="shared" si="6"/>
        <v>67141.555555555562</v>
      </c>
      <c r="O8" s="17">
        <f t="shared" si="6"/>
        <v>71050.370370370365</v>
      </c>
      <c r="P8" s="17">
        <f t="shared" si="6"/>
        <v>393324.00000000006</v>
      </c>
      <c r="Q8" s="17">
        <f t="shared" si="6"/>
        <v>83266</v>
      </c>
      <c r="R8" s="17">
        <f t="shared" si="6"/>
        <v>128999.99999999999</v>
      </c>
      <c r="T8" s="14">
        <f t="shared" si="4"/>
        <v>0.11776256026832507</v>
      </c>
      <c r="U8" s="14">
        <f t="shared" si="2"/>
        <v>0.12380125449559219</v>
      </c>
      <c r="V8" s="14">
        <f t="shared" si="2"/>
        <v>0.14105466657349824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7">SUM(J29,J39)</f>
        <v>66640</v>
      </c>
      <c r="K9" s="18">
        <f t="shared" si="7"/>
        <v>0</v>
      </c>
      <c r="L9" s="18">
        <f t="shared" si="7"/>
        <v>0</v>
      </c>
      <c r="M9" s="88">
        <f t="shared" si="7"/>
        <v>66640</v>
      </c>
      <c r="N9" s="88">
        <f t="shared" si="7"/>
        <v>0</v>
      </c>
      <c r="O9" s="88">
        <f t="shared" si="7"/>
        <v>0</v>
      </c>
      <c r="P9" s="88">
        <f t="shared" si="7"/>
        <v>66640</v>
      </c>
      <c r="Q9" s="88">
        <f t="shared" si="7"/>
        <v>0</v>
      </c>
      <c r="R9" s="88">
        <f t="shared" si="7"/>
        <v>0</v>
      </c>
      <c r="T9" s="14">
        <f t="shared" si="4"/>
        <v>1.5521859641767406E-2</v>
      </c>
      <c r="U9" s="14">
        <f t="shared" si="2"/>
        <v>1.5521859641767406E-2</v>
      </c>
      <c r="V9" s="14">
        <f t="shared" si="2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8">SUM(J5:J9)</f>
        <v>4014430</v>
      </c>
      <c r="K10" s="19">
        <f t="shared" si="8"/>
        <v>162000</v>
      </c>
      <c r="L10" s="19">
        <f t="shared" si="8"/>
        <v>129000</v>
      </c>
      <c r="M10" s="20">
        <f t="shared" si="8"/>
        <v>4014430</v>
      </c>
      <c r="N10" s="20">
        <f t="shared" si="8"/>
        <v>162000</v>
      </c>
      <c r="O10" s="20">
        <f t="shared" si="8"/>
        <v>128999.99999999999</v>
      </c>
      <c r="P10" s="20">
        <f t="shared" si="8"/>
        <v>4014429.9999999995</v>
      </c>
      <c r="Q10" s="20">
        <f t="shared" si="8"/>
        <v>162000</v>
      </c>
      <c r="R10" s="20">
        <f t="shared" si="8"/>
        <v>128999.99999999999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91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5"/>
      <c r="J22" s="236" t="s">
        <v>298</v>
      </c>
      <c r="K22" s="236"/>
      <c r="L22" s="236"/>
      <c r="M22" s="236"/>
      <c r="N22" s="236"/>
      <c r="O22" s="236"/>
      <c r="P22" s="236"/>
      <c r="Q22" s="235"/>
      <c r="R22" s="235"/>
    </row>
    <row r="23" spans="1:18" hidden="1" x14ac:dyDescent="0.25">
      <c r="D23" s="14"/>
      <c r="E23" s="14"/>
      <c r="F23" s="14"/>
      <c r="G23" s="14"/>
      <c r="I23" s="237" t="s">
        <v>175</v>
      </c>
      <c r="J23" s="238">
        <f>År1</f>
        <v>2019</v>
      </c>
      <c r="K23" s="238">
        <f>År1</f>
        <v>2019</v>
      </c>
      <c r="L23" s="238">
        <f>År1</f>
        <v>2019</v>
      </c>
      <c r="M23" s="238">
        <f>År2</f>
        <v>2030</v>
      </c>
      <c r="N23" s="238">
        <f>År2</f>
        <v>2030</v>
      </c>
      <c r="O23" s="238">
        <f>År2</f>
        <v>2030</v>
      </c>
      <c r="P23" s="238">
        <f>År3</f>
        <v>2050</v>
      </c>
      <c r="Q23" s="238">
        <f>År3</f>
        <v>2050</v>
      </c>
      <c r="R23" s="238">
        <f>År3</f>
        <v>2050</v>
      </c>
    </row>
    <row r="24" spans="1:18" hidden="1" x14ac:dyDescent="0.25">
      <c r="D24" s="14"/>
      <c r="E24" s="14"/>
      <c r="F24" s="14"/>
      <c r="G24" s="14"/>
      <c r="I24" s="237"/>
      <c r="J24" s="238" t="str">
        <f>Jordbund1</f>
        <v>JB1-10</v>
      </c>
      <c r="K24" s="238" t="str">
        <f>Organ6</f>
        <v>OC6</v>
      </c>
      <c r="L24" s="238" t="str">
        <f>Organ12</f>
        <v>OC12</v>
      </c>
      <c r="M24" s="238" t="str">
        <f>Jordbund1</f>
        <v>JB1-10</v>
      </c>
      <c r="N24" s="238" t="str">
        <f>Organ6</f>
        <v>OC6</v>
      </c>
      <c r="O24" s="238" t="str">
        <f>Organ12</f>
        <v>OC12</v>
      </c>
      <c r="P24" s="238" t="str">
        <f>Jordbund1</f>
        <v>JB1-10</v>
      </c>
      <c r="Q24" s="238" t="str">
        <f>Organ6</f>
        <v>OC6</v>
      </c>
      <c r="R24" s="238" t="str">
        <f>Organ12</f>
        <v>OC12</v>
      </c>
    </row>
    <row r="25" spans="1:18" hidden="1" x14ac:dyDescent="0.25">
      <c r="D25" s="14"/>
      <c r="E25" s="14"/>
      <c r="F25" s="14"/>
      <c r="G25" s="14"/>
      <c r="I25" s="239" t="str">
        <f>Bebyg</f>
        <v>Bebyggelse &amp; infrastruktur</v>
      </c>
      <c r="J25" s="245">
        <f>SUMIF([1]Arealanvendelse!$B$15:$B$22,I25,[1]Arealanvendelse!$D$15:$D$22)-SUM(K25:L25)</f>
        <v>413346.96815611009</v>
      </c>
      <c r="K25" s="245"/>
      <c r="L25" s="245"/>
      <c r="M25" s="248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8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8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8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8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8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9" t="str">
        <f>Afgrøder</f>
        <v>Landbrugsafgrøder</v>
      </c>
      <c r="J26" s="245">
        <f>SUMIF([1]Arealanvendelse!$B$15:$B$22,I26,[1]Arealanvendelse!$D$15:$D$22)-SUM(K26:L26)</f>
        <v>1853876.1391137983</v>
      </c>
      <c r="K26" s="245">
        <f>[1]Jordbundstypefordeling!$D$16*[1]Jordbundstypefordeling!$F$4</f>
        <v>87250.625185185185</v>
      </c>
      <c r="L26" s="245">
        <f>[1]Jordbundstypefordeling!$D$15*[1]Jordbundstypefordeling!$F$4</f>
        <v>67916.965925925921</v>
      </c>
      <c r="M26" s="248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1797607.2776597517</v>
      </c>
      <c r="N26" s="248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82351.182880658438</v>
      </c>
      <c r="O26" s="248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8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1636839.1020767612</v>
      </c>
      <c r="Q26" s="248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68352.776296296302</v>
      </c>
      <c r="R26" s="248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4"/>
      <c r="E27" s="14"/>
      <c r="F27" s="14"/>
      <c r="G27" s="14"/>
      <c r="I27" s="239" t="str">
        <f>SkovAreal</f>
        <v>Skov</v>
      </c>
      <c r="J27" s="245">
        <f>SUMIF([1]Arealanvendelse!$B$15:$B$22,I27,[1]Arealanvendelse!$D$15:$D$22)-SUM(K27:L27)</f>
        <v>435064.52162306459</v>
      </c>
      <c r="K27" s="245"/>
      <c r="L27" s="245"/>
      <c r="M27" s="248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491333.38307711121</v>
      </c>
      <c r="N27" s="248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8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8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8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8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9" t="str">
        <f>NaturAreal</f>
        <v>Natur</v>
      </c>
      <c r="J28" s="245">
        <f>SUMIF([1]Arealanvendelse!$B$15:$B$22,I28,[1]Arealanvendelse!$D$15:$D$22)-SUM(K28:L28)</f>
        <v>317835.5825103767</v>
      </c>
      <c r="K28" s="245">
        <f>([1]Jordbundstypefordeling!$E$16-[1]Jordbundstypefordeling!$D$16)*SUM([1]Jordbundstypefordeling!$D$3:$D$5)</f>
        <v>53389.374814814815</v>
      </c>
      <c r="L28" s="245">
        <f>([1]Jordbundstypefordeling!$E$15-[1]Jordbundstypefordeling!$D$15)*SUM([1]Jordbundstypefordeling!D3:D5)</f>
        <v>44074.145185185182</v>
      </c>
      <c r="M28" s="248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48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58288.817119341562</v>
      </c>
      <c r="O28" s="248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8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48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72287.223703703698</v>
      </c>
      <c r="R28" s="248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5.75" hidden="1" thickBot="1" x14ac:dyDescent="0.3">
      <c r="D29" s="14"/>
      <c r="E29" s="14"/>
      <c r="F29" s="14"/>
      <c r="G29" s="14"/>
      <c r="I29" s="240" t="str">
        <f>IKareal</f>
        <v>Ikke klassificeret</v>
      </c>
      <c r="J29" s="246">
        <f>SUMIF([1]Arealanvendelse!$B$15:$B$22,I29,[1]Arealanvendelse!$D$15:$D$22)-SUM(K29:L29)</f>
        <v>47192.371697540235</v>
      </c>
      <c r="K29" s="246"/>
      <c r="L29" s="246"/>
      <c r="M29" s="249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9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9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9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9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9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41" t="s">
        <v>30</v>
      </c>
      <c r="J30" s="247">
        <f t="shared" ref="J30:R30" si="9">SUM(J25:J29)</f>
        <v>3067315.5831008903</v>
      </c>
      <c r="K30" s="247">
        <f t="shared" si="9"/>
        <v>140640</v>
      </c>
      <c r="L30" s="247">
        <f t="shared" si="9"/>
        <v>111991.11111111109</v>
      </c>
      <c r="M30" s="250">
        <f t="shared" si="9"/>
        <v>3067315.5831008903</v>
      </c>
      <c r="N30" s="250">
        <f t="shared" si="9"/>
        <v>140640</v>
      </c>
      <c r="O30" s="250">
        <f t="shared" si="9"/>
        <v>111991.11111111109</v>
      </c>
      <c r="P30" s="250">
        <f t="shared" si="9"/>
        <v>3067315.5831008903</v>
      </c>
      <c r="Q30" s="250">
        <f t="shared" si="9"/>
        <v>140640</v>
      </c>
      <c r="R30" s="250">
        <f t="shared" si="9"/>
        <v>111991.11111111109</v>
      </c>
    </row>
    <row r="31" spans="1:18" hidden="1" x14ac:dyDescent="0.25">
      <c r="I31" s="242"/>
      <c r="J31" s="243"/>
      <c r="K31" s="243"/>
      <c r="L31" s="243"/>
      <c r="M31" s="244"/>
      <c r="N31" s="243"/>
      <c r="O31" s="243"/>
      <c r="P31" s="243"/>
      <c r="Q31" s="243"/>
      <c r="R31" s="243"/>
    </row>
    <row r="32" spans="1:18" hidden="1" x14ac:dyDescent="0.25">
      <c r="I32" s="242"/>
      <c r="J32" s="236" t="s">
        <v>299</v>
      </c>
      <c r="K32" s="236"/>
      <c r="L32" s="236"/>
      <c r="M32" s="236"/>
      <c r="N32" s="236"/>
      <c r="O32" s="236"/>
      <c r="P32" s="236"/>
      <c r="Q32" s="236"/>
      <c r="R32" s="236"/>
    </row>
    <row r="33" spans="9:18" hidden="1" x14ac:dyDescent="0.25">
      <c r="I33" s="237" t="s">
        <v>175</v>
      </c>
      <c r="J33" s="238">
        <f>År1</f>
        <v>2019</v>
      </c>
      <c r="K33" s="238">
        <f>År1</f>
        <v>2019</v>
      </c>
      <c r="L33" s="238">
        <f>År1</f>
        <v>2019</v>
      </c>
      <c r="M33" s="238">
        <v>2030</v>
      </c>
      <c r="N33" s="238">
        <v>2030</v>
      </c>
      <c r="O33" s="238">
        <v>2030</v>
      </c>
      <c r="P33" s="238">
        <f>År3</f>
        <v>2050</v>
      </c>
      <c r="Q33" s="238">
        <f>År3</f>
        <v>2050</v>
      </c>
      <c r="R33" s="238">
        <f>År3</f>
        <v>2050</v>
      </c>
    </row>
    <row r="34" spans="9:18" hidden="1" x14ac:dyDescent="0.25">
      <c r="I34" s="237"/>
      <c r="J34" s="238" t="str">
        <f>Jordbund1</f>
        <v>JB1-10</v>
      </c>
      <c r="K34" s="238" t="str">
        <f>Organ6</f>
        <v>OC6</v>
      </c>
      <c r="L34" s="238" t="str">
        <f>Organ12</f>
        <v>OC12</v>
      </c>
      <c r="M34" s="238" t="str">
        <f>Jordbund1</f>
        <v>JB1-10</v>
      </c>
      <c r="N34" s="238" t="str">
        <f>Organ6</f>
        <v>OC6</v>
      </c>
      <c r="O34" s="238" t="str">
        <f>Organ12</f>
        <v>OC12</v>
      </c>
      <c r="P34" s="238" t="str">
        <f>Jordbund1</f>
        <v>JB1-10</v>
      </c>
      <c r="Q34" s="238" t="str">
        <f>Organ6</f>
        <v>OC6</v>
      </c>
      <c r="R34" s="238" t="str">
        <f>Organ12</f>
        <v>OC12</v>
      </c>
    </row>
    <row r="35" spans="9:18" hidden="1" x14ac:dyDescent="0.25">
      <c r="I35" s="239" t="str">
        <f>Bebyg</f>
        <v>Bebyggelse &amp; infrastruktur</v>
      </c>
      <c r="J35" s="245">
        <f>SUMIF([1]Arealanvendelse!$B$15:$B$22,I35,[1]Arealanvendelse!$E$15:$E$22)-SUM(K35:L35)</f>
        <v>178773.03184388991</v>
      </c>
      <c r="K35" s="245"/>
      <c r="L35" s="245"/>
      <c r="M35" s="248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8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8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8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8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8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9" t="str">
        <f>Afgrøder</f>
        <v>Landbrugsafgrøder</v>
      </c>
      <c r="J36" s="245">
        <f>SUMIF([1]Arealanvendelse!$B$15:$B$22,I36,[1]Arealanvendelse!$E$15:$E$22)-SUM(K36:L36)</f>
        <v>546059.8608862015</v>
      </c>
      <c r="K36" s="245">
        <f>[1]Jordbundstypefordeling!$D$16*[1]Jordbundstypefordeling!$G$4</f>
        <v>13251.374814814815</v>
      </c>
      <c r="L36" s="245">
        <f>[1]Jordbundstypefordeling!$D$15*[1]Jordbundstypefordeling!$G$4</f>
        <v>10315.034074074074</v>
      </c>
      <c r="M36" s="248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537513.90752543334</v>
      </c>
      <c r="N36" s="248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12507.261563786009</v>
      </c>
      <c r="O36" s="248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8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513096.89792323852</v>
      </c>
      <c r="Q36" s="248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10381.223703703705</v>
      </c>
      <c r="R36" s="248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39" t="str">
        <f>SkovAreal</f>
        <v>Skov</v>
      </c>
      <c r="J37" s="245">
        <f>SUMIF([1]Arealanvendelse!$B$15:$B$22,I37,[1]Arealanvendelse!$E$15:$E$22)-SUM(K37:L37)</f>
        <v>127345.4783769354</v>
      </c>
      <c r="K37" s="245"/>
      <c r="L37" s="245"/>
      <c r="M37" s="248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135891.43173770356</v>
      </c>
      <c r="N37" s="248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8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8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8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8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9" t="str">
        <f>NaturAreal</f>
        <v>Natur</v>
      </c>
      <c r="J38" s="245">
        <f>SUMIF([1]Arealanvendelse!$B$15:$B$22,I38,[1]Arealanvendelse!$E$15:$E$22)-SUM(K38:L38)</f>
        <v>75488.417489623345</v>
      </c>
      <c r="K38" s="245">
        <f>([1]Jordbundstypefordeling!$E$16-[1]Jordbundstypefordeling!$D$16)*[1]Jordbundstypefordeling!$G$4</f>
        <v>8108.6251851851857</v>
      </c>
      <c r="L38" s="245">
        <f>([1]Jordbundstypefordeling!$E$15-[1]Jordbundstypefordeling!$D$15)*[1]Jordbundstypefordeling!$G$4</f>
        <v>6693.8548148148147</v>
      </c>
      <c r="M38" s="248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48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8852.7384362139928</v>
      </c>
      <c r="O38" s="248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8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48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10978.776296296297</v>
      </c>
      <c r="R38" s="248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5.75" hidden="1" thickBot="1" x14ac:dyDescent="0.3">
      <c r="I39" s="240" t="str">
        <f>IKareal</f>
        <v>Ikke klassificeret</v>
      </c>
      <c r="J39" s="246">
        <f>SUMIF([1]Arealanvendelse!$B$15:$B$22,I39,[1]Arealanvendelse!$E$15:$E$22)-SUM(K39:L39)</f>
        <v>19447.628302459765</v>
      </c>
      <c r="K39" s="246"/>
      <c r="L39" s="246"/>
      <c r="M39" s="249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9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9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9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9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9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41" t="s">
        <v>30</v>
      </c>
      <c r="J40" s="247">
        <f t="shared" ref="J40:R40" si="10">SUM(J35:J39)</f>
        <v>947114.41689910984</v>
      </c>
      <c r="K40" s="247">
        <f t="shared" si="10"/>
        <v>21360</v>
      </c>
      <c r="L40" s="247">
        <f t="shared" si="10"/>
        <v>17008.888888888891</v>
      </c>
      <c r="M40" s="250">
        <f t="shared" si="10"/>
        <v>947114.41689910972</v>
      </c>
      <c r="N40" s="250">
        <f t="shared" si="10"/>
        <v>21360</v>
      </c>
      <c r="O40" s="250">
        <f t="shared" si="10"/>
        <v>17008.888888888891</v>
      </c>
      <c r="P40" s="250">
        <f t="shared" si="10"/>
        <v>947114.41689910984</v>
      </c>
      <c r="Q40" s="250">
        <f t="shared" si="10"/>
        <v>21360</v>
      </c>
      <c r="R40" s="250">
        <f t="shared" si="10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25" zoomScale="90" zoomScaleNormal="90" workbookViewId="0">
      <selection activeCell="D46" sqref="D4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6" t="s">
        <v>271</v>
      </c>
    </row>
    <row r="2" spans="1:9" ht="15.75" x14ac:dyDescent="0.25">
      <c r="A2" s="203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</row>
    <row r="9" spans="1:9" x14ac:dyDescent="0.25">
      <c r="B9" s="79"/>
      <c r="C9" s="12"/>
      <c r="D9" s="12"/>
      <c r="E9" s="78"/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</row>
    <row r="11" spans="1:9" x14ac:dyDescent="0.25">
      <c r="B11" s="2" t="s">
        <v>22</v>
      </c>
      <c r="C11" s="7">
        <v>1</v>
      </c>
      <c r="D11" s="3">
        <f>C11-(C11-E11)/($E$10-$C$10)*($D$10-$C$10)</f>
        <v>0.96451612903225803</v>
      </c>
      <c r="E11" s="3">
        <v>0.9</v>
      </c>
    </row>
    <row r="12" spans="1:9" x14ac:dyDescent="0.25">
      <c r="B12" s="2" t="s">
        <v>3</v>
      </c>
      <c r="C12" s="7">
        <v>1</v>
      </c>
      <c r="D12" s="3">
        <f t="shared" ref="D12:D13" si="1">C12-(C12-E12)/($E$10-$C$10)*($D$10-$C$10)</f>
        <v>1</v>
      </c>
      <c r="E12" s="3">
        <v>1</v>
      </c>
    </row>
    <row r="13" spans="1:9" x14ac:dyDescent="0.25">
      <c r="B13" s="2" t="s">
        <v>4</v>
      </c>
      <c r="C13" s="7">
        <v>1</v>
      </c>
      <c r="D13" s="3">
        <f t="shared" si="1"/>
        <v>1</v>
      </c>
      <c r="E13" s="3">
        <v>1</v>
      </c>
      <c r="H13" s="13"/>
    </row>
    <row r="14" spans="1:9" x14ac:dyDescent="0.25">
      <c r="C14" s="289"/>
      <c r="D14" s="12"/>
      <c r="E14" s="12"/>
      <c r="H14" s="13"/>
      <c r="I14" s="13"/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v>1.07</v>
      </c>
      <c r="E16" s="3">
        <v>1.1499999999999999</v>
      </c>
    </row>
    <row r="17" spans="2:8" x14ac:dyDescent="0.25">
      <c r="B17" s="2" t="s">
        <v>84</v>
      </c>
      <c r="C17" s="84">
        <v>0.59345000000000003</v>
      </c>
      <c r="D17" s="3">
        <v>0.8</v>
      </c>
      <c r="E17" s="3">
        <v>0.9</v>
      </c>
    </row>
    <row r="18" spans="2:8" x14ac:dyDescent="0.25">
      <c r="B18" s="2" t="s">
        <v>141</v>
      </c>
      <c r="C18" s="84">
        <v>1</v>
      </c>
      <c r="D18" s="3">
        <v>1.07</v>
      </c>
      <c r="E18" s="3">
        <v>1.1499999999999999</v>
      </c>
      <c r="G18" s="163"/>
    </row>
    <row r="20" spans="2:8" x14ac:dyDescent="0.25">
      <c r="B20" s="411" t="s">
        <v>323</v>
      </c>
      <c r="C20" s="24"/>
      <c r="D20" s="24"/>
      <c r="E20" s="24"/>
    </row>
    <row r="21" spans="2:8" ht="29.45" customHeight="1" x14ac:dyDescent="0.25">
      <c r="B21" s="411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</row>
    <row r="24" spans="2:8" x14ac:dyDescent="0.25">
      <c r="B24" s="305" t="str">
        <f>CONCATENATE("Omlægning til permanent græs, ", Organ6,", hektar")</f>
        <v>Omlægning til permanent græs, OC6, hektar</v>
      </c>
      <c r="C24" s="306"/>
      <c r="D24" s="10">
        <f>D22*Arealanvendelse!N6-C22*Arealanvendelse!N6</f>
        <v>0</v>
      </c>
      <c r="E24" s="10">
        <f>E22*Arealanvendelse!Q6-C22*Arealanvendelse!Q6</f>
        <v>0</v>
      </c>
    </row>
    <row r="25" spans="2:8" x14ac:dyDescent="0.25">
      <c r="B25" s="305" t="str">
        <f>CONCATENATE("Omlægning til permanent græs, ", Organ12, ", hektar")</f>
        <v>Omlægning til permanent græs, OC12, hektar</v>
      </c>
      <c r="C25" s="306"/>
      <c r="D25" s="10">
        <f>D23*Arealanvendelse!O6-C23*Arealanvendelse!O6</f>
        <v>0</v>
      </c>
      <c r="E25" s="10">
        <f>E23*Arealanvendelse!R6-C23*Arealanvendelse!R6</f>
        <v>0</v>
      </c>
      <c r="G25" s="98"/>
    </row>
    <row r="26" spans="2:8" x14ac:dyDescent="0.25">
      <c r="B26" s="305" t="str">
        <f>CONCATENATE("Antal hektar som 1% svarer til, ", Organ6)</f>
        <v>Antal hektar som 1% svarer til, OC6</v>
      </c>
      <c r="C26" s="306"/>
      <c r="D26" s="10">
        <f>1%*Arealanvendelse!N6</f>
        <v>948.58444444444456</v>
      </c>
      <c r="E26" s="10">
        <f>1%*Arealanvendelse!Q6</f>
        <v>787.34</v>
      </c>
    </row>
    <row r="27" spans="2:8" ht="15.75" thickBot="1" x14ac:dyDescent="0.3">
      <c r="B27" s="307" t="str">
        <f>CONCATENATE("Antal hektar som 1% svarer til, ", Organ12)</f>
        <v>Antal hektar som 1% svarer til, OC12</v>
      </c>
      <c r="C27" s="308"/>
      <c r="D27" s="109">
        <f>1%*Arealanvendelse!O6</f>
        <v>579.49629629629624</v>
      </c>
      <c r="E27" s="109">
        <f>1%*Arealanvendelse!R6</f>
        <v>0</v>
      </c>
      <c r="F27" s="4"/>
    </row>
    <row r="28" spans="2:8" ht="15.75" thickBot="1" x14ac:dyDescent="0.3">
      <c r="B28" s="211" t="s">
        <v>263</v>
      </c>
      <c r="C28" s="212"/>
      <c r="D28" s="210">
        <f>SUM(D24:D25)</f>
        <v>0</v>
      </c>
      <c r="E28" s="210">
        <f>SUM(E24:E25)</f>
        <v>0</v>
      </c>
      <c r="F28" s="304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09" t="s">
        <v>322</v>
      </c>
      <c r="C30" s="24"/>
      <c r="D30" s="24"/>
      <c r="E30" s="24"/>
    </row>
    <row r="31" spans="2:8" x14ac:dyDescent="0.25">
      <c r="B31" s="410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301">
        <f>'[1]Afgrødefordeling - jordtype'!$Y4</f>
        <v>0.53753334285647836</v>
      </c>
      <c r="D32" s="87">
        <f>C32</f>
        <v>0.53753334285647836</v>
      </c>
      <c r="E32" s="87">
        <f>D32</f>
        <v>0.53753334285647836</v>
      </c>
    </row>
    <row r="33" spans="2:5" x14ac:dyDescent="0.25">
      <c r="B33" s="2" t="str">
        <f>[1]Afgrødefordeling!$C3</f>
        <v>Bælgsæd</v>
      </c>
      <c r="C33" s="301">
        <f>'[1]Afgrødefordeling - jordtype'!$Y5</f>
        <v>3.0976273829928767E-2</v>
      </c>
      <c r="D33" s="87">
        <f t="shared" ref="D33:E33" si="2">C33</f>
        <v>3.0976273829928767E-2</v>
      </c>
      <c r="E33" s="87">
        <f t="shared" si="2"/>
        <v>3.0976273829928767E-2</v>
      </c>
    </row>
    <row r="34" spans="2:5" x14ac:dyDescent="0.25">
      <c r="B34" s="2" t="str">
        <f>[1]Afgrødefordeling!$C4</f>
        <v>Raps</v>
      </c>
      <c r="C34" s="301">
        <f>'[1]Afgrødefordeling - jordtype'!$Y6</f>
        <v>6.5329688585482673E-2</v>
      </c>
      <c r="D34" s="87">
        <f t="shared" ref="D34:E34" si="3">C34</f>
        <v>6.5329688585482673E-2</v>
      </c>
      <c r="E34" s="87">
        <f t="shared" si="3"/>
        <v>6.5329688585482673E-2</v>
      </c>
    </row>
    <row r="35" spans="2:5" x14ac:dyDescent="0.25">
      <c r="B35" s="2" t="str">
        <f>[1]Afgrødefordeling!$C5</f>
        <v>Græs</v>
      </c>
      <c r="C35" s="301">
        <f>'[1]Afgrødefordeling - jordtype'!$Y7</f>
        <v>0.10115967422642448</v>
      </c>
      <c r="D35" s="87">
        <f t="shared" ref="D35:E35" si="4">C35</f>
        <v>0.10115967422642448</v>
      </c>
      <c r="E35" s="87">
        <f t="shared" si="4"/>
        <v>0.10115967422642448</v>
      </c>
    </row>
    <row r="36" spans="2:5" x14ac:dyDescent="0.25">
      <c r="B36" s="2" t="str">
        <f>[1]Afgrødefordeling!$C6</f>
        <v>Grøntsager</v>
      </c>
      <c r="C36" s="301">
        <f>'[1]Afgrødefordeling - jordtype'!$Y8</f>
        <v>5.2060865589185204E-3</v>
      </c>
      <c r="D36" s="87">
        <f t="shared" ref="D36:E36" si="5">C36</f>
        <v>5.2060865589185204E-3</v>
      </c>
      <c r="E36" s="87">
        <f t="shared" si="5"/>
        <v>5.2060865589185204E-3</v>
      </c>
    </row>
    <row r="37" spans="2:5" x14ac:dyDescent="0.25">
      <c r="B37" s="2" t="str">
        <f>[1]Afgrødefordeling!$C7</f>
        <v>Kartofler</v>
      </c>
      <c r="C37" s="301">
        <f>'[1]Afgrødefordeling - jordtype'!$Y9</f>
        <v>2.189728375215861E-2</v>
      </c>
      <c r="D37" s="87">
        <f t="shared" ref="D37:E37" si="6">C37</f>
        <v>2.189728375215861E-2</v>
      </c>
      <c r="E37" s="87">
        <f t="shared" si="6"/>
        <v>2.189728375215861E-2</v>
      </c>
    </row>
    <row r="38" spans="2:5" x14ac:dyDescent="0.25">
      <c r="B38" s="2" t="str">
        <f>[1]Afgrødefordeling!$C8</f>
        <v>Roer</v>
      </c>
      <c r="C38" s="301">
        <f>'[1]Afgrødefordeling - jordtype'!$Y10</f>
        <v>1.3466912404096722E-2</v>
      </c>
      <c r="D38" s="87">
        <f t="shared" ref="D38:E38" si="7">C38</f>
        <v>1.3466912404096722E-2</v>
      </c>
      <c r="E38" s="87">
        <f t="shared" si="7"/>
        <v>1.3466912404096722E-2</v>
      </c>
    </row>
    <row r="39" spans="2:5" x14ac:dyDescent="0.25">
      <c r="B39" s="2" t="str">
        <f>[1]Afgrødefordeling!$C9</f>
        <v>Majs</v>
      </c>
      <c r="C39" s="301">
        <f>'[1]Afgrødefordeling - jordtype'!$Y11</f>
        <v>7.2759287296729286E-2</v>
      </c>
      <c r="D39" s="87">
        <f t="shared" ref="D39:E39" si="8">C39</f>
        <v>7.2759287296729286E-2</v>
      </c>
      <c r="E39" s="87">
        <f t="shared" si="8"/>
        <v>7.2759287296729286E-2</v>
      </c>
    </row>
    <row r="40" spans="2:5" x14ac:dyDescent="0.25">
      <c r="B40" s="2" t="str">
        <f>[1]Afgrødefordeling!$C10</f>
        <v>Frugt</v>
      </c>
      <c r="C40" s="301">
        <f>'[1]Afgrødefordeling - jordtype'!$Y12</f>
        <v>2.0301913757470973E-3</v>
      </c>
      <c r="D40" s="87">
        <f t="shared" ref="D40:E40" si="9">C40</f>
        <v>2.0301913757470973E-3</v>
      </c>
      <c r="E40" s="87">
        <f t="shared" si="9"/>
        <v>2.0301913757470973E-3</v>
      </c>
    </row>
    <row r="41" spans="2:5" x14ac:dyDescent="0.25">
      <c r="B41" s="2" t="str">
        <f>[1]Afgrødefordeling!$C11</f>
        <v>Øvrige</v>
      </c>
      <c r="C41" s="301">
        <f>'[1]Afgrødefordeling - jordtype'!$Y13</f>
        <v>2.7968670218625629E-2</v>
      </c>
      <c r="D41" s="87">
        <f t="shared" ref="D41:E41" si="10">C41</f>
        <v>2.7968670218625629E-2</v>
      </c>
      <c r="E41" s="87">
        <f t="shared" si="10"/>
        <v>2.7968670218625629E-2</v>
      </c>
    </row>
    <row r="42" spans="2:5" x14ac:dyDescent="0.25">
      <c r="B42" s="2" t="str">
        <f>[1]Afgrødefordeling!$C12</f>
        <v>Frø</v>
      </c>
      <c r="C42" s="301">
        <f>'[1]Afgrødefordeling - jordtype'!$Y14</f>
        <v>4.0395307311065158E-2</v>
      </c>
      <c r="D42" s="87">
        <f t="shared" ref="D42:E42" si="11">C42</f>
        <v>4.0395307311065158E-2</v>
      </c>
      <c r="E42" s="87">
        <f t="shared" si="11"/>
        <v>4.0395307311065158E-2</v>
      </c>
    </row>
    <row r="43" spans="2:5" x14ac:dyDescent="0.25">
      <c r="B43" s="2" t="str">
        <f>[1]Afgrødefordeling!$C13</f>
        <v>Juletræer</v>
      </c>
      <c r="C43" s="301">
        <f>'[1]Afgrødefordeling - jordtype'!$Y15</f>
        <v>7.5869349743828522E-3</v>
      </c>
      <c r="D43" s="87">
        <f t="shared" ref="D43:E43" si="12">C43</f>
        <v>7.5869349743828522E-3</v>
      </c>
      <c r="E43" s="87">
        <f t="shared" si="12"/>
        <v>7.5869349743828522E-3</v>
      </c>
    </row>
    <row r="44" spans="2:5" x14ac:dyDescent="0.25">
      <c r="B44" s="2" t="str">
        <f>[1]Afgrødefordeling!$C14</f>
        <v>Pil &amp; poppel</v>
      </c>
      <c r="C44" s="301">
        <f>'[1]Afgrødefordeling - jordtype'!$Y16</f>
        <v>2.9175094799916215E-3</v>
      </c>
      <c r="D44" s="87">
        <f t="shared" ref="D44:E44" si="13">C44</f>
        <v>2.9175094799916215E-3</v>
      </c>
      <c r="E44" s="87">
        <f t="shared" si="13"/>
        <v>2.9175094799916215E-3</v>
      </c>
    </row>
    <row r="45" spans="2:5" x14ac:dyDescent="0.25">
      <c r="B45" s="2" t="str">
        <f>[1]Afgrødefordeling!$C15</f>
        <v>Permanent græs</v>
      </c>
      <c r="C45" s="301">
        <f>'[1]Afgrødefordeling - jordtype'!$Y17</f>
        <v>7.0772837129970206E-2</v>
      </c>
      <c r="D45" s="87">
        <f t="shared" ref="D45:E45" si="14">C45</f>
        <v>7.0772837129970206E-2</v>
      </c>
      <c r="E45" s="87">
        <f t="shared" si="14"/>
        <v>7.0772837129970206E-2</v>
      </c>
    </row>
    <row r="46" spans="2:5" x14ac:dyDescent="0.25">
      <c r="B46" s="24" t="s">
        <v>288</v>
      </c>
      <c r="C46" s="84"/>
      <c r="D46" s="86">
        <f>SUM(D32:D45)</f>
        <v>0.99999999999999989</v>
      </c>
      <c r="E46" s="86">
        <f>SUM(E32:E45)</f>
        <v>0.99999999999999989</v>
      </c>
    </row>
    <row r="47" spans="2:5" x14ac:dyDescent="0.25">
      <c r="B47" s="24" t="s">
        <v>242</v>
      </c>
      <c r="C47" s="84"/>
      <c r="D47" s="108" cm="1">
        <f t="array" ref="D47">SUMPRODUCT((D32:D45&gt;$C$32:$C$45)*(D32:D45-$C$32:$C$45))*Arealanvendelse!M6</f>
        <v>0</v>
      </c>
      <c r="E47" s="108" cm="1">
        <f t="array" ref="E47">SUMPRODUCT((E32:E45&gt;$C$32:$C$45)*(E32:E45-$C$32:$C$45))*Arealanvendelse!P6</f>
        <v>0</v>
      </c>
    </row>
    <row r="48" spans="2:5" x14ac:dyDescent="0.25">
      <c r="B48" s="24" t="s">
        <v>241</v>
      </c>
      <c r="C48" s="103"/>
      <c r="D48" s="108">
        <f>1%*Arealanvendelse!M6</f>
        <v>23351.211851851851</v>
      </c>
      <c r="E48" s="108">
        <f>1%*Arealanvendelse!P6</f>
        <v>21499.359999999997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6" spans="2:8" x14ac:dyDescent="0.25">
      <c r="C56" s="394">
        <f>SUM(C32,C35,C38:C39,C45)</f>
        <v>0.79569205391369902</v>
      </c>
      <c r="D56" s="394">
        <f>SUM(D32,D35,D38:D39,D45)</f>
        <v>0.79569205391369902</v>
      </c>
      <c r="E56" s="394">
        <f>SUM(E32,E35,E38:E39,E45)</f>
        <v>0.79569205391369902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C20" sqref="C20:E2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06" t="s">
        <v>271</v>
      </c>
    </row>
    <row r="2" spans="1:9" ht="15.75" thickBot="1" x14ac:dyDescent="0.3">
      <c r="A2" s="291"/>
      <c r="B2" s="291"/>
      <c r="C2" s="291">
        <f>År1</f>
        <v>2019</v>
      </c>
      <c r="D2" s="291">
        <f>År2</f>
        <v>2030</v>
      </c>
      <c r="E2" s="291">
        <f>År3</f>
        <v>2050</v>
      </c>
      <c r="F2" s="291" t="s">
        <v>314</v>
      </c>
    </row>
    <row r="3" spans="1:9" x14ac:dyDescent="0.25">
      <c r="A3" s="292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290">
        <f>C3</f>
        <v>0.39994582515067378</v>
      </c>
      <c r="E3" s="290">
        <f>D3</f>
        <v>0.39994582515067378</v>
      </c>
      <c r="I3" s="220"/>
    </row>
    <row r="4" spans="1:9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90">
        <f t="shared" ref="D4:E4" si="0">C4</f>
        <v>1.1105844111871065E-2</v>
      </c>
      <c r="E4" s="290">
        <f t="shared" si="0"/>
        <v>1.1105844111871065E-2</v>
      </c>
      <c r="I4" s="220"/>
    </row>
    <row r="5" spans="1:9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90">
        <f t="shared" ref="D5:E5" si="1">C5</f>
        <v>0</v>
      </c>
      <c r="E5" s="290">
        <f t="shared" si="1"/>
        <v>0</v>
      </c>
      <c r="I5" s="220"/>
    </row>
    <row r="6" spans="1:9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90">
        <f t="shared" ref="D6:E6" si="2">C6</f>
        <v>5.2820478093045303E-3</v>
      </c>
      <c r="E6" s="290">
        <f t="shared" si="2"/>
        <v>5.2820478093045303E-3</v>
      </c>
      <c r="I6" s="220"/>
    </row>
    <row r="7" spans="1:9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90">
        <f t="shared" ref="D7:E7" si="3">C7</f>
        <v>9.683754317058306E-3</v>
      </c>
      <c r="E7" s="290">
        <f t="shared" si="3"/>
        <v>9.683754317058306E-3</v>
      </c>
      <c r="I7" s="220"/>
    </row>
    <row r="8" spans="1:9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90">
        <f t="shared" ref="D8:E8" si="4">C8</f>
        <v>0.1132931536534164</v>
      </c>
      <c r="E8" s="290">
        <f t="shared" si="4"/>
        <v>0.1132931536534164</v>
      </c>
      <c r="I8" s="220"/>
    </row>
    <row r="9" spans="1:9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90">
        <f t="shared" ref="D9:E9" si="5">C9</f>
        <v>1.6320173359517843E-2</v>
      </c>
      <c r="E9" s="290">
        <f t="shared" si="5"/>
        <v>1.6320173359517843E-2</v>
      </c>
      <c r="I9" s="220"/>
    </row>
    <row r="10" spans="1:9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90">
        <f t="shared" ref="D10:E10" si="6">C10</f>
        <v>0</v>
      </c>
      <c r="E10" s="290">
        <f t="shared" si="6"/>
        <v>0</v>
      </c>
      <c r="I10" s="220"/>
    </row>
    <row r="11" spans="1:9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90">
        <f t="shared" ref="D11:E11" si="7">C11</f>
        <v>0</v>
      </c>
      <c r="E11" s="290">
        <f t="shared" si="7"/>
        <v>0</v>
      </c>
      <c r="I11" s="220"/>
    </row>
    <row r="12" spans="1:9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90">
        <f t="shared" ref="D12:E12" si="8">C12</f>
        <v>0.15385657208640888</v>
      </c>
      <c r="E12" s="290">
        <f t="shared" si="8"/>
        <v>0.15385657208640888</v>
      </c>
    </row>
    <row r="13" spans="1:9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90">
        <f t="shared" ref="D13:E13" si="9">C13</f>
        <v>1.1038125550213313E-2</v>
      </c>
      <c r="E13" s="290">
        <f t="shared" si="9"/>
        <v>1.1038125550213313E-2</v>
      </c>
    </row>
    <row r="14" spans="1:9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</v>
      </c>
      <c r="E14" s="111">
        <f>ROUND('[1]Processer - data'!J$491/'[1]Processer - data'!J$490*E15*'[1]Processer - data'!$H$451/'[1]Processer - data'!$H$452,3)</f>
        <v>0</v>
      </c>
      <c r="F14" s="1" t="s">
        <v>315</v>
      </c>
    </row>
    <row r="15" spans="1:9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90">
        <f>C15</f>
        <v>0</v>
      </c>
      <c r="E15" s="290">
        <f>D15</f>
        <v>0</v>
      </c>
    </row>
    <row r="16" spans="1:9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90">
        <f t="shared" ref="D16:E16" si="10">C16</f>
        <v>8.1939459605877979E-3</v>
      </c>
      <c r="E16" s="290">
        <f t="shared" si="10"/>
        <v>8.1939459605877979E-3</v>
      </c>
    </row>
    <row r="17" spans="1:6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90">
        <f t="shared" ref="D17:E17" si="11">C17</f>
        <v>0.27128055800094808</v>
      </c>
      <c r="E17" s="290">
        <f t="shared" si="11"/>
        <v>0.27128055800094808</v>
      </c>
      <c r="F17" s="291"/>
    </row>
    <row r="18" spans="1:6" ht="15.75" thickBot="1" x14ac:dyDescent="0.3">
      <c r="A18" s="221" t="s">
        <v>30</v>
      </c>
      <c r="B18" s="221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4" t="s">
        <v>316</v>
      </c>
    </row>
    <row r="20" spans="1:6" x14ac:dyDescent="0.25">
      <c r="D20" s="394"/>
    </row>
    <row r="21" spans="1:6" x14ac:dyDescent="0.25">
      <c r="D21" s="394"/>
      <c r="E21" s="394"/>
    </row>
    <row r="22" spans="1:6" x14ac:dyDescent="0.25">
      <c r="D22" s="394"/>
      <c r="E22" s="394"/>
    </row>
    <row r="23" spans="1:6" x14ac:dyDescent="0.25">
      <c r="D23" s="394"/>
      <c r="E23" s="394"/>
    </row>
    <row r="24" spans="1:6" x14ac:dyDescent="0.25">
      <c r="D24" s="394"/>
      <c r="E24" s="394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59" sqref="D5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5" t="s">
        <v>271</v>
      </c>
    </row>
    <row r="2" spans="1:4" x14ac:dyDescent="0.25">
      <c r="A2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280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279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25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25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25">
      <c r="A16" s="2" t="s">
        <v>179</v>
      </c>
      <c r="B16" s="7">
        <v>0</v>
      </c>
      <c r="C16" s="8">
        <v>0.45</v>
      </c>
      <c r="D16" s="8">
        <v>0.45</v>
      </c>
    </row>
    <row r="17" spans="1:8" ht="15.75" thickBot="1" x14ac:dyDescent="0.3">
      <c r="A17" s="309" t="s">
        <v>180</v>
      </c>
      <c r="B17" s="310">
        <v>0</v>
      </c>
      <c r="C17" s="313">
        <v>0</v>
      </c>
      <c r="D17" s="313">
        <v>0</v>
      </c>
    </row>
    <row r="18" spans="1:8" ht="15.75" thickBot="1" x14ac:dyDescent="0.3">
      <c r="A18" s="311" t="s">
        <v>30</v>
      </c>
      <c r="B18" s="312"/>
      <c r="C18" s="312">
        <f>SUM(C13:C17)</f>
        <v>1</v>
      </c>
      <c r="D18" s="312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3615.8703437693521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4977.6607022998596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698.19114071466845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890.85122692804998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364.53368246961463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5025.6642058609605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70.681612143180047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905.02086990301564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3615.8703437693521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698.19114071466845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363.33149692104462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70.448513209516364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32547.837708886895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45747.463772336472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6284.6906411072023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8195.9946084659714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3275.7985272638125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45173.285182142659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635.16413461343438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8139.0053057825789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31749.414907659091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6130.4559698886542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3172.5768775227571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615.1498726600563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3615.8703437693521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4977.1213052648709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698.19114071466845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890.74664001646488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364.53368246961463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5025.6642058609605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70.681612143180047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905.02086990301564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3615.8703437693521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698.19114071466845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363.87089395603351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70.553100121101537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32550.034856919305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45902.389129639385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6285.1166592572836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8223.7326928204147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3273.6013792313997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45142.599783169004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634.73811646335264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8135.2384124486625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31629.311727902626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6107.2868835642512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3168.4400989500195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614.34776796394249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12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25">
      <c r="A48" s="413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>SUM(B49,E49)</f>
        <v>562410</v>
      </c>
      <c r="I49" s="103">
        <f t="shared" ref="I49:J54" si="1">SUM(C49,F49)</f>
        <v>532239.27923287847</v>
      </c>
      <c r="J49" s="103">
        <f t="shared" si="1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3980.4040262389667</v>
      </c>
      <c r="D50" s="103">
        <f t="shared" ca="1" si="0"/>
        <v>13982.526748851215</v>
      </c>
      <c r="E50" s="103">
        <f t="shared" ca="1" si="0"/>
        <v>0</v>
      </c>
      <c r="F50" s="103">
        <f t="shared" ca="1" si="0"/>
        <v>768.87275285784847</v>
      </c>
      <c r="G50" s="103">
        <f t="shared" ca="1" si="0"/>
        <v>2564.5117507552504</v>
      </c>
      <c r="H50" s="103">
        <f t="shared" ref="H50:H54" ca="1" si="2">SUM(B50,E50)</f>
        <v>0</v>
      </c>
      <c r="I50" s="103">
        <f t="shared" ca="1" si="1"/>
        <v>4749.2767790968155</v>
      </c>
      <c r="J50" s="103">
        <f t="shared" ca="1" si="1"/>
        <v>16547.038499606464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35823.636236150705</v>
      </c>
      <c r="D51" s="103">
        <f t="shared" ca="1" si="0"/>
        <v>125842.74073966099</v>
      </c>
      <c r="E51" s="103">
        <f t="shared" ca="1" si="0"/>
        <v>0</v>
      </c>
      <c r="F51" s="103">
        <f t="shared" ca="1" si="0"/>
        <v>6919.854775720637</v>
      </c>
      <c r="G51" s="103">
        <f t="shared" ca="1" si="0"/>
        <v>23080.60575679726</v>
      </c>
      <c r="H51" s="103">
        <f t="shared" ca="1" si="2"/>
        <v>0</v>
      </c>
      <c r="I51" s="103">
        <f t="shared" ca="1" si="1"/>
        <v>42743.491011871345</v>
      </c>
      <c r="J51" s="103">
        <f t="shared" ca="1" si="1"/>
        <v>148923.34649645825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3980.4040262389667</v>
      </c>
      <c r="D52" s="103">
        <f t="shared" ca="1" si="0"/>
        <v>13982.526748851216</v>
      </c>
      <c r="E52" s="103">
        <f t="shared" ca="1" si="0"/>
        <v>0</v>
      </c>
      <c r="F52" s="103">
        <f t="shared" ca="1" si="0"/>
        <v>768.87275285784847</v>
      </c>
      <c r="G52" s="103">
        <f t="shared" ca="1" si="0"/>
        <v>2564.5117507552504</v>
      </c>
      <c r="H52" s="103">
        <f t="shared" ca="1" si="2"/>
        <v>0</v>
      </c>
      <c r="I52" s="103">
        <f t="shared" ca="1" si="1"/>
        <v>4749.2767790968155</v>
      </c>
      <c r="J52" s="103">
        <f t="shared" ca="1" si="1"/>
        <v>16547.038499606468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35823.636236150705</v>
      </c>
      <c r="D53" s="103">
        <f t="shared" ca="1" si="0"/>
        <v>125842.74073966102</v>
      </c>
      <c r="E53" s="103">
        <f t="shared" ca="1" si="0"/>
        <v>0</v>
      </c>
      <c r="F53" s="103">
        <f t="shared" ca="1" si="0"/>
        <v>6919.8547757206361</v>
      </c>
      <c r="G53" s="103">
        <f t="shared" ca="1" si="0"/>
        <v>23080.605756797271</v>
      </c>
      <c r="H53" s="103">
        <f t="shared" ca="1" si="2"/>
        <v>0</v>
      </c>
      <c r="I53" s="103">
        <f t="shared" ca="1" si="1"/>
        <v>42743.491011871345</v>
      </c>
      <c r="J53" s="103">
        <f t="shared" ca="1" si="1"/>
        <v>148923.34649645828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2"/>
        <v>0</v>
      </c>
      <c r="I54" s="103">
        <f t="shared" ca="1" si="1"/>
        <v>0</v>
      </c>
      <c r="J54" s="103">
        <f t="shared" ca="1" si="1"/>
        <v>0</v>
      </c>
    </row>
    <row r="55" spans="1:10" hidden="1" x14ac:dyDescent="0.25"/>
    <row r="57" spans="1:10" x14ac:dyDescent="0.25">
      <c r="A57" s="1" t="s">
        <v>327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4" t="s">
        <v>119</v>
      </c>
      <c r="B60" s="310">
        <f>'[1]Processer - data'!$H424</f>
        <v>0.52</v>
      </c>
      <c r="C60" s="313">
        <f>B60</f>
        <v>0.52</v>
      </c>
      <c r="D60" s="313">
        <f>C60</f>
        <v>0.52</v>
      </c>
    </row>
    <row r="61" spans="1:10" ht="15.75" thickBot="1" x14ac:dyDescent="0.3">
      <c r="A61" s="311" t="s">
        <v>30</v>
      </c>
      <c r="B61" s="312">
        <f>SUM(B59:B60)</f>
        <v>1</v>
      </c>
      <c r="C61" s="312">
        <f t="shared" ref="C61:D61" si="3">SUM(C59:C60)</f>
        <v>1</v>
      </c>
      <c r="D61" s="312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364.53368246961463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363.98985181758314</v>
      </c>
      <c r="G3">
        <f ca="1">IF($C3-G$1&lt;År1,0,F2*(1-VLOOKUP($A3,[1]Hugst!$R$5:$W$9,MATCH(ROUNDUP((G$1)/10,0)*10,[1]Hugst!$R$4:$W$4,0))))</f>
        <v>364.53368246961463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363.44874031881761</v>
      </c>
      <c r="G4">
        <f ca="1">IF($C4-G$1&lt;År1,0,F3*(1-VLOOKUP($A4,[1]Hugst!$R$5:$W$9,MATCH(ROUNDUP((G$1)/10,0)*10,[1]Hugst!$R$4:$W$4,0))))</f>
        <v>363.98985181758314</v>
      </c>
      <c r="H4">
        <f ca="1">IF($C4-H$1&lt;År1,0,G3*(1-VLOOKUP($A4,[1]Hugst!$R$5:$W$9,MATCH(ROUNDUP((H$1)/10,0)*10,[1]Hugst!$R$4:$W$4,0))))</f>
        <v>364.53368246961463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362.9103343775422</v>
      </c>
      <c r="G5">
        <f ca="1">IF($C5-G$1&lt;År1,0,F4*(1-VLOOKUP($A5,[1]Hugst!$R$5:$W$9,MATCH(ROUNDUP((G$1)/10,0)*10,[1]Hugst!$R$4:$W$4,0))))</f>
        <v>363.44874031881761</v>
      </c>
      <c r="H5">
        <f ca="1">IF($C5-H$1&lt;År1,0,G4*(1-VLOOKUP($A5,[1]Hugst!$R$5:$W$9,MATCH(ROUNDUP((H$1)/10,0)*10,[1]Hugst!$R$4:$W$4,0))))</f>
        <v>363.98985181758314</v>
      </c>
      <c r="I5">
        <f ca="1">IF($C5-I$1&lt;År1,0,H4*(1-VLOOKUP($A5,[1]Hugst!$R$5:$W$9,MATCH(ROUNDUP((I$1)/10,0)*10,[1]Hugst!$R$4:$W$4,0))))</f>
        <v>364.53368246961463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362.37462046597341</v>
      </c>
      <c r="G6">
        <f ca="1">IF($C6-G$1&lt;År1,0,F5*(1-VLOOKUP($A6,[1]Hugst!$R$5:$W$9,MATCH(ROUNDUP((G$1)/10,0)*10,[1]Hugst!$R$4:$W$4,0))))</f>
        <v>362.9103343775422</v>
      </c>
      <c r="H6">
        <f ca="1">IF($C6-H$1&lt;År1,0,G5*(1-VLOOKUP($A6,[1]Hugst!$R$5:$W$9,MATCH(ROUNDUP((H$1)/10,0)*10,[1]Hugst!$R$4:$W$4,0))))</f>
        <v>363.44874031881761</v>
      </c>
      <c r="I6">
        <f ca="1">IF($C6-I$1&lt;År1,0,H5*(1-VLOOKUP($A6,[1]Hugst!$R$5:$W$9,MATCH(ROUNDUP((I$1)/10,0)*10,[1]Hugst!$R$4:$W$4,0))))</f>
        <v>363.98985181758314</v>
      </c>
      <c r="J6">
        <f ca="1">IF($C6-J$1&lt;År1,0,I5*(1-VLOOKUP($A6,[1]Hugst!$R$5:$W$9,MATCH(ROUNDUP((J$1)/10,0)*10,[1]Hugst!$R$4:$W$4,0))))</f>
        <v>364.53368246961463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361.84158512396232</v>
      </c>
      <c r="G7">
        <f ca="1">IF($C7-G$1&lt;År1,0,F6*(1-VLOOKUP($A7,[1]Hugst!$R$5:$W$9,MATCH(ROUNDUP((G$1)/10,0)*10,[1]Hugst!$R$4:$W$4,0))))</f>
        <v>362.37462046597341</v>
      </c>
      <c r="H7">
        <f ca="1">IF($C7-H$1&lt;År1,0,G6*(1-VLOOKUP($A7,[1]Hugst!$R$5:$W$9,MATCH(ROUNDUP((H$1)/10,0)*10,[1]Hugst!$R$4:$W$4,0))))</f>
        <v>362.9103343775422</v>
      </c>
      <c r="I7">
        <f ca="1">IF($C7-I$1&lt;År1,0,H6*(1-VLOOKUP($A7,[1]Hugst!$R$5:$W$9,MATCH(ROUNDUP((I$1)/10,0)*10,[1]Hugst!$R$4:$W$4,0))))</f>
        <v>363.44874031881761</v>
      </c>
      <c r="J7">
        <f ca="1">IF($C7-J$1&lt;År1,0,I6*(1-VLOOKUP($A7,[1]Hugst!$R$5:$W$9,MATCH(ROUNDUP((J$1)/10,0)*10,[1]Hugst!$R$4:$W$4,0))))</f>
        <v>363.98985181758314</v>
      </c>
      <c r="K7">
        <f ca="1">IF($C7-K$1&lt;År1,0,J6*(1-VLOOKUP($A7,[1]Hugst!$R$5:$W$9,MATCH(ROUNDUP((K$1)/10,0)*10,[1]Hugst!$R$4:$W$4,0))))</f>
        <v>364.53368246961463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361.31121495866228</v>
      </c>
      <c r="G8">
        <f ca="1">IF($C8-G$1&lt;År1,0,F7*(1-VLOOKUP($A8,[1]Hugst!$R$5:$W$9,MATCH(ROUNDUP((G$1)/10,0)*10,[1]Hugst!$R$4:$W$4,0))))</f>
        <v>361.84158512396232</v>
      </c>
      <c r="H8">
        <f ca="1">IF($C8-H$1&lt;År1,0,G7*(1-VLOOKUP($A8,[1]Hugst!$R$5:$W$9,MATCH(ROUNDUP((H$1)/10,0)*10,[1]Hugst!$R$4:$W$4,0))))</f>
        <v>362.37462046597341</v>
      </c>
      <c r="I8">
        <f ca="1">IF($C8-I$1&lt;År1,0,H7*(1-VLOOKUP($A8,[1]Hugst!$R$5:$W$9,MATCH(ROUNDUP((I$1)/10,0)*10,[1]Hugst!$R$4:$W$4,0))))</f>
        <v>362.9103343775422</v>
      </c>
      <c r="J8">
        <f ca="1">IF($C8-J$1&lt;År1,0,I7*(1-VLOOKUP($A8,[1]Hugst!$R$5:$W$9,MATCH(ROUNDUP((J$1)/10,0)*10,[1]Hugst!$R$4:$W$4,0))))</f>
        <v>363.44874031881761</v>
      </c>
      <c r="K8">
        <f ca="1">IF($C8-K$1&lt;År1,0,J7*(1-VLOOKUP($A8,[1]Hugst!$R$5:$W$9,MATCH(ROUNDUP((K$1)/10,0)*10,[1]Hugst!$R$4:$W$4,0))))</f>
        <v>363.98985181758314</v>
      </c>
      <c r="L8">
        <f ca="1">IF($C8-L$1&lt;År1,0,K7*(1-VLOOKUP($A8,[1]Hugst!$R$5:$W$9,MATCH(ROUNDUP((L$1)/10,0)*10,[1]Hugst!$R$4:$W$4,0))))</f>
        <v>364.53368246961463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360.7834966441892</v>
      </c>
      <c r="G9">
        <f ca="1">IF($C9-G$1&lt;År1,0,F8*(1-VLOOKUP($A9,[1]Hugst!$R$5:$W$9,MATCH(ROUNDUP((G$1)/10,0)*10,[1]Hugst!$R$4:$W$4,0))))</f>
        <v>361.31121495866228</v>
      </c>
      <c r="H9">
        <f ca="1">IF($C9-H$1&lt;År1,0,G8*(1-VLOOKUP($A9,[1]Hugst!$R$5:$W$9,MATCH(ROUNDUP((H$1)/10,0)*10,[1]Hugst!$R$4:$W$4,0))))</f>
        <v>361.84158512396232</v>
      </c>
      <c r="I9">
        <f ca="1">IF($C9-I$1&lt;År1,0,H8*(1-VLOOKUP($A9,[1]Hugst!$R$5:$W$9,MATCH(ROUNDUP((I$1)/10,0)*10,[1]Hugst!$R$4:$W$4,0))))</f>
        <v>362.37462046597341</v>
      </c>
      <c r="J9">
        <f ca="1">IF($C9-J$1&lt;År1,0,I8*(1-VLOOKUP($A9,[1]Hugst!$R$5:$W$9,MATCH(ROUNDUP((J$1)/10,0)*10,[1]Hugst!$R$4:$W$4,0))))</f>
        <v>362.9103343775422</v>
      </c>
      <c r="K9">
        <f ca="1">IF($C9-K$1&lt;År1,0,J8*(1-VLOOKUP($A9,[1]Hugst!$R$5:$W$9,MATCH(ROUNDUP((K$1)/10,0)*10,[1]Hugst!$R$4:$W$4,0))))</f>
        <v>363.44874031881761</v>
      </c>
      <c r="L9">
        <f ca="1">IF($C9-L$1&lt;År1,0,K8*(1-VLOOKUP($A9,[1]Hugst!$R$5:$W$9,MATCH(ROUNDUP((L$1)/10,0)*10,[1]Hugst!$R$4:$W$4,0))))</f>
        <v>363.98985181758314</v>
      </c>
      <c r="M9">
        <f ca="1">IF($C9-M$1&lt;År1,0,L8*(1-VLOOKUP($A9,[1]Hugst!$R$5:$W$9,MATCH(ROUNDUP((M$1)/10,0)*10,[1]Hugst!$R$4:$W$4,0))))</f>
        <v>364.53368246961463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360.2584169212887</v>
      </c>
      <c r="G10">
        <f ca="1">IF($C10-G$1&lt;År1,0,F9*(1-VLOOKUP($A10,[1]Hugst!$R$5:$W$9,MATCH(ROUNDUP((G$1)/10,0)*10,[1]Hugst!$R$4:$W$4,0))))</f>
        <v>360.7834966441892</v>
      </c>
      <c r="H10">
        <f ca="1">IF($C10-H$1&lt;År1,0,G9*(1-VLOOKUP($A10,[1]Hugst!$R$5:$W$9,MATCH(ROUNDUP((H$1)/10,0)*10,[1]Hugst!$R$4:$W$4,0))))</f>
        <v>361.31121495866228</v>
      </c>
      <c r="I10">
        <f ca="1">IF($C10-I$1&lt;År1,0,H9*(1-VLOOKUP($A10,[1]Hugst!$R$5:$W$9,MATCH(ROUNDUP((I$1)/10,0)*10,[1]Hugst!$R$4:$W$4,0))))</f>
        <v>361.84158512396232</v>
      </c>
      <c r="J10">
        <f ca="1">IF($C10-J$1&lt;År1,0,I9*(1-VLOOKUP($A10,[1]Hugst!$R$5:$W$9,MATCH(ROUNDUP((J$1)/10,0)*10,[1]Hugst!$R$4:$W$4,0))))</f>
        <v>362.37462046597341</v>
      </c>
      <c r="K10">
        <f ca="1">IF($C10-K$1&lt;År1,0,J9*(1-VLOOKUP($A10,[1]Hugst!$R$5:$W$9,MATCH(ROUNDUP((K$1)/10,0)*10,[1]Hugst!$R$4:$W$4,0))))</f>
        <v>362.9103343775422</v>
      </c>
      <c r="L10">
        <f ca="1">IF($C10-L$1&lt;År1,0,K9*(1-VLOOKUP($A10,[1]Hugst!$R$5:$W$9,MATCH(ROUNDUP((L$1)/10,0)*10,[1]Hugst!$R$4:$W$4,0))))</f>
        <v>363.44874031881761</v>
      </c>
      <c r="M10">
        <f ca="1">IF($C10-M$1&lt;År1,0,L9*(1-VLOOKUP($A10,[1]Hugst!$R$5:$W$9,MATCH(ROUNDUP((M$1)/10,0)*10,[1]Hugst!$R$4:$W$4,0))))</f>
        <v>363.98985181758314</v>
      </c>
      <c r="N10">
        <f ca="1">IF($C10-N$1&lt;År1,0,M9*(1-VLOOKUP($A10,[1]Hugst!$R$5:$W$9,MATCH(ROUNDUP((N$1)/10,0)*10,[1]Hugst!$R$4:$W$4,0))))</f>
        <v>364.53368246961463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359.73596259699673</v>
      </c>
      <c r="G11">
        <f ca="1">IF($C11-G$1&lt;År1,0,F10*(1-VLOOKUP($A11,[1]Hugst!$R$5:$W$9,MATCH(ROUNDUP((G$1)/10,0)*10,[1]Hugst!$R$4:$W$4,0))))</f>
        <v>360.2584169212887</v>
      </c>
      <c r="H11">
        <f ca="1">IF($C11-H$1&lt;År1,0,G10*(1-VLOOKUP($A11,[1]Hugst!$R$5:$W$9,MATCH(ROUNDUP((H$1)/10,0)*10,[1]Hugst!$R$4:$W$4,0))))</f>
        <v>360.7834966441892</v>
      </c>
      <c r="I11">
        <f ca="1">IF($C11-I$1&lt;År1,0,H10*(1-VLOOKUP($A11,[1]Hugst!$R$5:$W$9,MATCH(ROUNDUP((I$1)/10,0)*10,[1]Hugst!$R$4:$W$4,0))))</f>
        <v>361.31121495866228</v>
      </c>
      <c r="J11">
        <f ca="1">IF($C11-J$1&lt;År1,0,I10*(1-VLOOKUP($A11,[1]Hugst!$R$5:$W$9,MATCH(ROUNDUP((J$1)/10,0)*10,[1]Hugst!$R$4:$W$4,0))))</f>
        <v>361.84158512396232</v>
      </c>
      <c r="K11">
        <f ca="1">IF($C11-K$1&lt;År1,0,J10*(1-VLOOKUP($A11,[1]Hugst!$R$5:$W$9,MATCH(ROUNDUP((K$1)/10,0)*10,[1]Hugst!$R$4:$W$4,0))))</f>
        <v>362.37462046597341</v>
      </c>
      <c r="L11">
        <f ca="1">IF($C11-L$1&lt;År1,0,K10*(1-VLOOKUP($A11,[1]Hugst!$R$5:$W$9,MATCH(ROUNDUP((L$1)/10,0)*10,[1]Hugst!$R$4:$W$4,0))))</f>
        <v>362.9103343775422</v>
      </c>
      <c r="M11">
        <f ca="1">IF($C11-M$1&lt;År1,0,L10*(1-VLOOKUP($A11,[1]Hugst!$R$5:$W$9,MATCH(ROUNDUP((M$1)/10,0)*10,[1]Hugst!$R$4:$W$4,0))))</f>
        <v>363.44874031881761</v>
      </c>
      <c r="N11">
        <f ca="1">IF($C11-N$1&lt;År1,0,M10*(1-VLOOKUP($A11,[1]Hugst!$R$5:$W$9,MATCH(ROUNDUP((N$1)/10,0)*10,[1]Hugst!$R$4:$W$4,0))))</f>
        <v>363.98985181758314</v>
      </c>
      <c r="O11">
        <f ca="1">IF($C11-O$1&lt;År1,0,N10*(1-VLOOKUP($A11,[1]Hugst!$R$5:$W$9,MATCH(ROUNDUP((O$1)/10,0)*10,[1]Hugst!$R$4:$W$4,0))))</f>
        <v>364.53368246961463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359.21612054433638</v>
      </c>
      <c r="G12">
        <f ca="1">IF($C12-G$1&lt;År1,0,F11*(1-VLOOKUP($A12,[1]Hugst!$R$5:$W$9,MATCH(ROUNDUP((G$1)/10,0)*10,[1]Hugst!$R$4:$W$4,0))))</f>
        <v>359.73596259699673</v>
      </c>
      <c r="H12">
        <f ca="1">IF($C12-H$1&lt;År1,0,G11*(1-VLOOKUP($A12,[1]Hugst!$R$5:$W$9,MATCH(ROUNDUP((H$1)/10,0)*10,[1]Hugst!$R$4:$W$4,0))))</f>
        <v>360.2584169212887</v>
      </c>
      <c r="I12">
        <f ca="1">IF($C12-I$1&lt;År1,0,H11*(1-VLOOKUP($A12,[1]Hugst!$R$5:$W$9,MATCH(ROUNDUP((I$1)/10,0)*10,[1]Hugst!$R$4:$W$4,0))))</f>
        <v>360.7834966441892</v>
      </c>
      <c r="J12">
        <f ca="1">IF($C12-J$1&lt;År1,0,I11*(1-VLOOKUP($A12,[1]Hugst!$R$5:$W$9,MATCH(ROUNDUP((J$1)/10,0)*10,[1]Hugst!$R$4:$W$4,0))))</f>
        <v>361.31121495866228</v>
      </c>
      <c r="K12">
        <f ca="1">IF($C12-K$1&lt;År1,0,J11*(1-VLOOKUP($A12,[1]Hugst!$R$5:$W$9,MATCH(ROUNDUP((K$1)/10,0)*10,[1]Hugst!$R$4:$W$4,0))))</f>
        <v>361.84158512396232</v>
      </c>
      <c r="L12">
        <f ca="1">IF($C12-L$1&lt;År1,0,K11*(1-VLOOKUP($A12,[1]Hugst!$R$5:$W$9,MATCH(ROUNDUP((L$1)/10,0)*10,[1]Hugst!$R$4:$W$4,0))))</f>
        <v>362.37462046597341</v>
      </c>
      <c r="M12">
        <f ca="1">IF($C12-M$1&lt;År1,0,L11*(1-VLOOKUP($A12,[1]Hugst!$R$5:$W$9,MATCH(ROUNDUP((M$1)/10,0)*10,[1]Hugst!$R$4:$W$4,0))))</f>
        <v>362.9103343775422</v>
      </c>
      <c r="N12">
        <f ca="1">IF($C12-N$1&lt;År1,0,M11*(1-VLOOKUP($A12,[1]Hugst!$R$5:$W$9,MATCH(ROUNDUP((N$1)/10,0)*10,[1]Hugst!$R$4:$W$4,0))))</f>
        <v>363.44874031881761</v>
      </c>
      <c r="O12">
        <f ca="1">IF($C12-O$1&lt;År1,0,N11*(1-VLOOKUP($A12,[1]Hugst!$R$5:$W$9,MATCH(ROUNDUP((O$1)/10,0)*10,[1]Hugst!$R$4:$W$4,0))))</f>
        <v>363.98985181758314</v>
      </c>
      <c r="P12">
        <f ca="1">IF($C12-P$1&lt;År1,0,O11*(1-VLOOKUP($A12,[1]Hugst!$R$5:$W$9,MATCH(ROUNDUP((P$1)/10,0)*10,[1]Hugst!$R$4:$W$4,0))))</f>
        <v>364.53368246961463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504.85176459555504</v>
      </c>
      <c r="G13">
        <f ca="1">IF($C13-G$1&lt;År1,0,F12*(1-VLOOKUP($A13,[1]Hugst!$R$5:$W$9,MATCH(ROUNDUP((G$1)/10,0)*10,[1]Hugst!$R$4:$W$4,0))))</f>
        <v>359.21612054433638</v>
      </c>
      <c r="H13">
        <f ca="1">IF($C13-H$1&lt;År1,0,G12*(1-VLOOKUP($A13,[1]Hugst!$R$5:$W$9,MATCH(ROUNDUP((H$1)/10,0)*10,[1]Hugst!$R$4:$W$4,0))))</f>
        <v>359.73596259699673</v>
      </c>
      <c r="I13">
        <f ca="1">IF($C13-I$1&lt;År1,0,H12*(1-VLOOKUP($A13,[1]Hugst!$R$5:$W$9,MATCH(ROUNDUP((I$1)/10,0)*10,[1]Hugst!$R$4:$W$4,0))))</f>
        <v>360.2584169212887</v>
      </c>
      <c r="J13">
        <f ca="1">IF($C13-J$1&lt;År1,0,I12*(1-VLOOKUP($A13,[1]Hugst!$R$5:$W$9,MATCH(ROUNDUP((J$1)/10,0)*10,[1]Hugst!$R$4:$W$4,0))))</f>
        <v>360.7834966441892</v>
      </c>
      <c r="K13">
        <f ca="1">IF($C13-K$1&lt;År1,0,J12*(1-VLOOKUP($A13,[1]Hugst!$R$5:$W$9,MATCH(ROUNDUP((K$1)/10,0)*10,[1]Hugst!$R$4:$W$4,0))))</f>
        <v>361.31121495866228</v>
      </c>
      <c r="L13">
        <f ca="1">IF($C13-L$1&lt;År1,0,K12*(1-VLOOKUP($A13,[1]Hugst!$R$5:$W$9,MATCH(ROUNDUP((L$1)/10,0)*10,[1]Hugst!$R$4:$W$4,0))))</f>
        <v>361.84158512396232</v>
      </c>
      <c r="M13">
        <f ca="1">IF($C13-M$1&lt;År1,0,L12*(1-VLOOKUP($A13,[1]Hugst!$R$5:$W$9,MATCH(ROUNDUP((M$1)/10,0)*10,[1]Hugst!$R$4:$W$4,0))))</f>
        <v>362.37462046597341</v>
      </c>
      <c r="N13">
        <f ca="1">IF($C13-N$1&lt;År1,0,M12*(1-VLOOKUP($A13,[1]Hugst!$R$5:$W$9,MATCH(ROUNDUP((N$1)/10,0)*10,[1]Hugst!$R$4:$W$4,0))))</f>
        <v>362.9103343775422</v>
      </c>
      <c r="O13">
        <f ca="1">IF($C13-O$1&lt;År1,0,N12*(1-VLOOKUP($A13,[1]Hugst!$R$5:$W$9,MATCH(ROUNDUP((O$1)/10,0)*10,[1]Hugst!$R$4:$W$4,0))))</f>
        <v>363.44874031881761</v>
      </c>
      <c r="P13">
        <f ca="1">IF($C13-P$1&lt;År1,0,O12*(1-VLOOKUP($A13,[1]Hugst!$R$5:$W$9,MATCH(ROUNDUP((P$1)/10,0)*10,[1]Hugst!$R$4:$W$4,0))))</f>
        <v>363.98985181758314</v>
      </c>
      <c r="Q13">
        <f ca="1">IF($C13-Q$1&lt;År1,0,P12*(1-VLOOKUP($A13,[1]Hugst!$R$5:$W$9,MATCH(ROUNDUP((Q$1)/10,0)*10,[1]Hugst!$R$4:$W$4,0))))</f>
        <v>364.53368246961463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504.33710796736972</v>
      </c>
      <c r="G14">
        <f ca="1">IF($C14-G$1&lt;År1,0,F13*(1-VLOOKUP($A14,[1]Hugst!$R$5:$W$9,MATCH(ROUNDUP((G$1)/10,0)*10,[1]Hugst!$R$4:$W$4,0))))</f>
        <v>504.85176459555504</v>
      </c>
      <c r="H14">
        <f ca="1">IF($C14-H$1&lt;År1,0,G13*(1-VLOOKUP($A14,[1]Hugst!$R$5:$W$9,MATCH(ROUNDUP((H$1)/10,0)*10,[1]Hugst!$R$4:$W$4,0))))</f>
        <v>359.21612054433638</v>
      </c>
      <c r="I14">
        <f ca="1">IF($C14-I$1&lt;År1,0,H13*(1-VLOOKUP($A14,[1]Hugst!$R$5:$W$9,MATCH(ROUNDUP((I$1)/10,0)*10,[1]Hugst!$R$4:$W$4,0))))</f>
        <v>359.73596259699673</v>
      </c>
      <c r="J14">
        <f ca="1">IF($C14-J$1&lt;År1,0,I13*(1-VLOOKUP($A14,[1]Hugst!$R$5:$W$9,MATCH(ROUNDUP((J$1)/10,0)*10,[1]Hugst!$R$4:$W$4,0))))</f>
        <v>360.2584169212887</v>
      </c>
      <c r="K14">
        <f ca="1">IF($C14-K$1&lt;År1,0,J13*(1-VLOOKUP($A14,[1]Hugst!$R$5:$W$9,MATCH(ROUNDUP((K$1)/10,0)*10,[1]Hugst!$R$4:$W$4,0))))</f>
        <v>360.7834966441892</v>
      </c>
      <c r="L14">
        <f ca="1">IF($C14-L$1&lt;År1,0,K13*(1-VLOOKUP($A14,[1]Hugst!$R$5:$W$9,MATCH(ROUNDUP((L$1)/10,0)*10,[1]Hugst!$R$4:$W$4,0))))</f>
        <v>361.31121495866228</v>
      </c>
      <c r="M14">
        <f ca="1">IF($C14-M$1&lt;År1,0,L13*(1-VLOOKUP($A14,[1]Hugst!$R$5:$W$9,MATCH(ROUNDUP((M$1)/10,0)*10,[1]Hugst!$R$4:$W$4,0))))</f>
        <v>361.84158512396232</v>
      </c>
      <c r="N14">
        <f ca="1">IF($C14-N$1&lt;År1,0,M13*(1-VLOOKUP($A14,[1]Hugst!$R$5:$W$9,MATCH(ROUNDUP((N$1)/10,0)*10,[1]Hugst!$R$4:$W$4,0))))</f>
        <v>362.37462046597341</v>
      </c>
      <c r="O14">
        <f ca="1">IF($C14-O$1&lt;År1,0,N13*(1-VLOOKUP($A14,[1]Hugst!$R$5:$W$9,MATCH(ROUNDUP((O$1)/10,0)*10,[1]Hugst!$R$4:$W$4,0))))</f>
        <v>362.9103343775422</v>
      </c>
      <c r="P14">
        <f ca="1">IF($C14-P$1&lt;År1,0,O13*(1-VLOOKUP($A14,[1]Hugst!$R$5:$W$9,MATCH(ROUNDUP((P$1)/10,0)*10,[1]Hugst!$R$4:$W$4,0))))</f>
        <v>363.44874031881761</v>
      </c>
      <c r="Q14">
        <f ca="1">IF($C14-Q$1&lt;År1,0,P13*(1-VLOOKUP($A14,[1]Hugst!$R$5:$W$9,MATCH(ROUNDUP((Q$1)/10,0)*10,[1]Hugst!$R$4:$W$4,0))))</f>
        <v>363.98985181758314</v>
      </c>
      <c r="R14">
        <f ca="1">IF($C14-R$1&lt;År1,0,Q13*(1-VLOOKUP($A14,[1]Hugst!$R$5:$W$9,MATCH(ROUNDUP((R$1)/10,0)*10,[1]Hugst!$R$4:$W$4,0))))</f>
        <v>364.53368246961463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503.82502462231758</v>
      </c>
      <c r="G15">
        <f ca="1">IF($C15-G$1&lt;År1,0,F14*(1-VLOOKUP($A15,[1]Hugst!$R$5:$W$9,MATCH(ROUNDUP((G$1)/10,0)*10,[1]Hugst!$R$4:$W$4,0))))</f>
        <v>504.33710796736972</v>
      </c>
      <c r="H15">
        <f ca="1">IF($C15-H$1&lt;År1,0,G14*(1-VLOOKUP($A15,[1]Hugst!$R$5:$W$9,MATCH(ROUNDUP((H$1)/10,0)*10,[1]Hugst!$R$4:$W$4,0))))</f>
        <v>504.85176459555504</v>
      </c>
      <c r="I15">
        <f ca="1">IF($C15-I$1&lt;År1,0,H14*(1-VLOOKUP($A15,[1]Hugst!$R$5:$W$9,MATCH(ROUNDUP((I$1)/10,0)*10,[1]Hugst!$R$4:$W$4,0))))</f>
        <v>359.21612054433638</v>
      </c>
      <c r="J15">
        <f ca="1">IF($C15-J$1&lt;År1,0,I14*(1-VLOOKUP($A15,[1]Hugst!$R$5:$W$9,MATCH(ROUNDUP((J$1)/10,0)*10,[1]Hugst!$R$4:$W$4,0))))</f>
        <v>359.73596259699673</v>
      </c>
      <c r="K15">
        <f ca="1">IF($C15-K$1&lt;År1,0,J14*(1-VLOOKUP($A15,[1]Hugst!$R$5:$W$9,MATCH(ROUNDUP((K$1)/10,0)*10,[1]Hugst!$R$4:$W$4,0))))</f>
        <v>360.2584169212887</v>
      </c>
      <c r="L15">
        <f ca="1">IF($C15-L$1&lt;År1,0,K14*(1-VLOOKUP($A15,[1]Hugst!$R$5:$W$9,MATCH(ROUNDUP((L$1)/10,0)*10,[1]Hugst!$R$4:$W$4,0))))</f>
        <v>360.7834966441892</v>
      </c>
      <c r="M15">
        <f ca="1">IF($C15-M$1&lt;År1,0,L14*(1-VLOOKUP($A15,[1]Hugst!$R$5:$W$9,MATCH(ROUNDUP((M$1)/10,0)*10,[1]Hugst!$R$4:$W$4,0))))</f>
        <v>361.31121495866228</v>
      </c>
      <c r="N15">
        <f ca="1">IF($C15-N$1&lt;År1,0,M14*(1-VLOOKUP($A15,[1]Hugst!$R$5:$W$9,MATCH(ROUNDUP((N$1)/10,0)*10,[1]Hugst!$R$4:$W$4,0))))</f>
        <v>361.84158512396232</v>
      </c>
      <c r="O15">
        <f ca="1">IF($C15-O$1&lt;År1,0,N14*(1-VLOOKUP($A15,[1]Hugst!$R$5:$W$9,MATCH(ROUNDUP((O$1)/10,0)*10,[1]Hugst!$R$4:$W$4,0))))</f>
        <v>362.37462046597341</v>
      </c>
      <c r="P15">
        <f ca="1">IF($C15-P$1&lt;År1,0,O14*(1-VLOOKUP($A15,[1]Hugst!$R$5:$W$9,MATCH(ROUNDUP((P$1)/10,0)*10,[1]Hugst!$R$4:$W$4,0))))</f>
        <v>362.9103343775422</v>
      </c>
      <c r="Q15">
        <f ca="1">IF($C15-Q$1&lt;År1,0,P14*(1-VLOOKUP($A15,[1]Hugst!$R$5:$W$9,MATCH(ROUNDUP((Q$1)/10,0)*10,[1]Hugst!$R$4:$W$4,0))))</f>
        <v>363.44874031881761</v>
      </c>
      <c r="R15">
        <f ca="1">IF($C15-R$1&lt;År1,0,Q14*(1-VLOOKUP($A15,[1]Hugst!$R$5:$W$9,MATCH(ROUNDUP((R$1)/10,0)*10,[1]Hugst!$R$4:$W$4,0))))</f>
        <v>363.98985181758314</v>
      </c>
      <c r="S15">
        <f ca="1">IF($C15-S$1&lt;År1,0,R14*(1-VLOOKUP($A15,[1]Hugst!$R$5:$W$9,MATCH(ROUNDUP((S$1)/10,0)*10,[1]Hugst!$R$4:$W$4,0))))</f>
        <v>364.53368246961463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503.31550169399378</v>
      </c>
      <c r="G16">
        <f ca="1">IF($C16-G$1&lt;År1,0,F15*(1-VLOOKUP($A16,[1]Hugst!$R$5:$W$9,MATCH(ROUNDUP((G$1)/10,0)*10,[1]Hugst!$R$4:$W$4,0))))</f>
        <v>503.82502462231758</v>
      </c>
      <c r="H16">
        <f ca="1">IF($C16-H$1&lt;År1,0,G15*(1-VLOOKUP($A16,[1]Hugst!$R$5:$W$9,MATCH(ROUNDUP((H$1)/10,0)*10,[1]Hugst!$R$4:$W$4,0))))</f>
        <v>504.33710796736972</v>
      </c>
      <c r="I16">
        <f ca="1">IF($C16-I$1&lt;År1,0,H15*(1-VLOOKUP($A16,[1]Hugst!$R$5:$W$9,MATCH(ROUNDUP((I$1)/10,0)*10,[1]Hugst!$R$4:$W$4,0))))</f>
        <v>504.85176459555504</v>
      </c>
      <c r="J16">
        <f ca="1">IF($C16-J$1&lt;År1,0,I15*(1-VLOOKUP($A16,[1]Hugst!$R$5:$W$9,MATCH(ROUNDUP((J$1)/10,0)*10,[1]Hugst!$R$4:$W$4,0))))</f>
        <v>359.21612054433638</v>
      </c>
      <c r="K16">
        <f ca="1">IF($C16-K$1&lt;År1,0,J15*(1-VLOOKUP($A16,[1]Hugst!$R$5:$W$9,MATCH(ROUNDUP((K$1)/10,0)*10,[1]Hugst!$R$4:$W$4,0))))</f>
        <v>359.73596259699673</v>
      </c>
      <c r="L16">
        <f ca="1">IF($C16-L$1&lt;År1,0,K15*(1-VLOOKUP($A16,[1]Hugst!$R$5:$W$9,MATCH(ROUNDUP((L$1)/10,0)*10,[1]Hugst!$R$4:$W$4,0))))</f>
        <v>360.2584169212887</v>
      </c>
      <c r="M16">
        <f ca="1">IF($C16-M$1&lt;År1,0,L15*(1-VLOOKUP($A16,[1]Hugst!$R$5:$W$9,MATCH(ROUNDUP((M$1)/10,0)*10,[1]Hugst!$R$4:$W$4,0))))</f>
        <v>360.7834966441892</v>
      </c>
      <c r="N16">
        <f ca="1">IF($C16-N$1&lt;År1,0,M15*(1-VLOOKUP($A16,[1]Hugst!$R$5:$W$9,MATCH(ROUNDUP((N$1)/10,0)*10,[1]Hugst!$R$4:$W$4,0))))</f>
        <v>361.31121495866228</v>
      </c>
      <c r="O16">
        <f ca="1">IF($C16-O$1&lt;År1,0,N15*(1-VLOOKUP($A16,[1]Hugst!$R$5:$W$9,MATCH(ROUNDUP((O$1)/10,0)*10,[1]Hugst!$R$4:$W$4,0))))</f>
        <v>361.84158512396232</v>
      </c>
      <c r="P16">
        <f ca="1">IF($C16-P$1&lt;År1,0,O15*(1-VLOOKUP($A16,[1]Hugst!$R$5:$W$9,MATCH(ROUNDUP((P$1)/10,0)*10,[1]Hugst!$R$4:$W$4,0))))</f>
        <v>362.37462046597341</v>
      </c>
      <c r="Q16">
        <f ca="1">IF($C16-Q$1&lt;År1,0,P15*(1-VLOOKUP($A16,[1]Hugst!$R$5:$W$9,MATCH(ROUNDUP((Q$1)/10,0)*10,[1]Hugst!$R$4:$W$4,0))))</f>
        <v>362.9103343775422</v>
      </c>
      <c r="R16">
        <f ca="1">IF($C16-R$1&lt;År1,0,Q15*(1-VLOOKUP($A16,[1]Hugst!$R$5:$W$9,MATCH(ROUNDUP((R$1)/10,0)*10,[1]Hugst!$R$4:$W$4,0))))</f>
        <v>363.44874031881761</v>
      </c>
      <c r="S16">
        <f ca="1">IF($C16-S$1&lt;År1,0,R15*(1-VLOOKUP($A16,[1]Hugst!$R$5:$W$9,MATCH(ROUNDUP((S$1)/10,0)*10,[1]Hugst!$R$4:$W$4,0))))</f>
        <v>363.98985181758314</v>
      </c>
      <c r="T16">
        <f ca="1">IF($C16-T$1&lt;År1,0,S15*(1-VLOOKUP($A16,[1]Hugst!$R$5:$W$9,MATCH(ROUNDUP((T$1)/10,0)*10,[1]Hugst!$R$4:$W$4,0))))</f>
        <v>364.53368246961463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502.80852638031337</v>
      </c>
      <c r="G17">
        <f ca="1">IF($C17-G$1&lt;År1,0,F16*(1-VLOOKUP($A17,[1]Hugst!$R$5:$W$9,MATCH(ROUNDUP((G$1)/10,0)*10,[1]Hugst!$R$4:$W$4,0))))</f>
        <v>503.31550169399378</v>
      </c>
      <c r="H17">
        <f ca="1">IF($C17-H$1&lt;År1,0,G16*(1-VLOOKUP($A17,[1]Hugst!$R$5:$W$9,MATCH(ROUNDUP((H$1)/10,0)*10,[1]Hugst!$R$4:$W$4,0))))</f>
        <v>503.82502462231758</v>
      </c>
      <c r="I17">
        <f ca="1">IF($C17-I$1&lt;År1,0,H16*(1-VLOOKUP($A17,[1]Hugst!$R$5:$W$9,MATCH(ROUNDUP((I$1)/10,0)*10,[1]Hugst!$R$4:$W$4,0))))</f>
        <v>504.33710796736972</v>
      </c>
      <c r="J17">
        <f ca="1">IF($C17-J$1&lt;År1,0,I16*(1-VLOOKUP($A17,[1]Hugst!$R$5:$W$9,MATCH(ROUNDUP((J$1)/10,0)*10,[1]Hugst!$R$4:$W$4,0))))</f>
        <v>504.85176459555504</v>
      </c>
      <c r="K17">
        <f ca="1">IF($C17-K$1&lt;År1,0,J16*(1-VLOOKUP($A17,[1]Hugst!$R$5:$W$9,MATCH(ROUNDUP((K$1)/10,0)*10,[1]Hugst!$R$4:$W$4,0))))</f>
        <v>359.21612054433638</v>
      </c>
      <c r="L17">
        <f ca="1">IF($C17-L$1&lt;År1,0,K16*(1-VLOOKUP($A17,[1]Hugst!$R$5:$W$9,MATCH(ROUNDUP((L$1)/10,0)*10,[1]Hugst!$R$4:$W$4,0))))</f>
        <v>359.73596259699673</v>
      </c>
      <c r="M17">
        <f ca="1">IF($C17-M$1&lt;År1,0,L16*(1-VLOOKUP($A17,[1]Hugst!$R$5:$W$9,MATCH(ROUNDUP((M$1)/10,0)*10,[1]Hugst!$R$4:$W$4,0))))</f>
        <v>360.2584169212887</v>
      </c>
      <c r="N17">
        <f ca="1">IF($C17-N$1&lt;År1,0,M16*(1-VLOOKUP($A17,[1]Hugst!$R$5:$W$9,MATCH(ROUNDUP((N$1)/10,0)*10,[1]Hugst!$R$4:$W$4,0))))</f>
        <v>360.7834966441892</v>
      </c>
      <c r="O17">
        <f ca="1">IF($C17-O$1&lt;År1,0,N16*(1-VLOOKUP($A17,[1]Hugst!$R$5:$W$9,MATCH(ROUNDUP((O$1)/10,0)*10,[1]Hugst!$R$4:$W$4,0))))</f>
        <v>361.31121495866228</v>
      </c>
      <c r="P17">
        <f ca="1">IF($C17-P$1&lt;År1,0,O16*(1-VLOOKUP($A17,[1]Hugst!$R$5:$W$9,MATCH(ROUNDUP((P$1)/10,0)*10,[1]Hugst!$R$4:$W$4,0))))</f>
        <v>361.84158512396232</v>
      </c>
      <c r="Q17">
        <f ca="1">IF($C17-Q$1&lt;År1,0,P16*(1-VLOOKUP($A17,[1]Hugst!$R$5:$W$9,MATCH(ROUNDUP((Q$1)/10,0)*10,[1]Hugst!$R$4:$W$4,0))))</f>
        <v>362.37462046597341</v>
      </c>
      <c r="R17">
        <f ca="1">IF($C17-R$1&lt;År1,0,Q16*(1-VLOOKUP($A17,[1]Hugst!$R$5:$W$9,MATCH(ROUNDUP((R$1)/10,0)*10,[1]Hugst!$R$4:$W$4,0))))</f>
        <v>362.9103343775422</v>
      </c>
      <c r="S17">
        <f ca="1">IF($C17-S$1&lt;År1,0,R16*(1-VLOOKUP($A17,[1]Hugst!$R$5:$W$9,MATCH(ROUNDUP((S$1)/10,0)*10,[1]Hugst!$R$4:$W$4,0))))</f>
        <v>363.44874031881761</v>
      </c>
      <c r="T17">
        <f ca="1">IF($C17-T$1&lt;År1,0,S16*(1-VLOOKUP($A17,[1]Hugst!$R$5:$W$9,MATCH(ROUNDUP((T$1)/10,0)*10,[1]Hugst!$R$4:$W$4,0))))</f>
        <v>363.98985181758314</v>
      </c>
      <c r="U17">
        <f ca="1">IF($C17-U$1&lt;År1,0,T16*(1-VLOOKUP($A17,[1]Hugst!$R$5:$W$9,MATCH(ROUNDUP((U$1)/10,0)*10,[1]Hugst!$R$4:$W$4,0))))</f>
        <v>364.53368246961463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502.30408594319869</v>
      </c>
      <c r="G18">
        <f ca="1">IF($C18-G$1&lt;År1,0,F17*(1-VLOOKUP($A18,[1]Hugst!$R$5:$W$9,MATCH(ROUNDUP((G$1)/10,0)*10,[1]Hugst!$R$4:$W$4,0))))</f>
        <v>502.80852638031337</v>
      </c>
      <c r="H18">
        <f ca="1">IF($C18-H$1&lt;År1,0,G17*(1-VLOOKUP($A18,[1]Hugst!$R$5:$W$9,MATCH(ROUNDUP((H$1)/10,0)*10,[1]Hugst!$R$4:$W$4,0))))</f>
        <v>503.31550169399378</v>
      </c>
      <c r="I18">
        <f ca="1">IF($C18-I$1&lt;År1,0,H17*(1-VLOOKUP($A18,[1]Hugst!$R$5:$W$9,MATCH(ROUNDUP((I$1)/10,0)*10,[1]Hugst!$R$4:$W$4,0))))</f>
        <v>503.82502462231758</v>
      </c>
      <c r="J18">
        <f ca="1">IF($C18-J$1&lt;År1,0,I17*(1-VLOOKUP($A18,[1]Hugst!$R$5:$W$9,MATCH(ROUNDUP((J$1)/10,0)*10,[1]Hugst!$R$4:$W$4,0))))</f>
        <v>504.33710796736972</v>
      </c>
      <c r="K18">
        <f ca="1">IF($C18-K$1&lt;År1,0,J17*(1-VLOOKUP($A18,[1]Hugst!$R$5:$W$9,MATCH(ROUNDUP((K$1)/10,0)*10,[1]Hugst!$R$4:$W$4,0))))</f>
        <v>504.85176459555504</v>
      </c>
      <c r="L18">
        <f ca="1">IF($C18-L$1&lt;År1,0,K17*(1-VLOOKUP($A18,[1]Hugst!$R$5:$W$9,MATCH(ROUNDUP((L$1)/10,0)*10,[1]Hugst!$R$4:$W$4,0))))</f>
        <v>359.21612054433638</v>
      </c>
      <c r="M18">
        <f ca="1">IF($C18-M$1&lt;År1,0,L17*(1-VLOOKUP($A18,[1]Hugst!$R$5:$W$9,MATCH(ROUNDUP((M$1)/10,0)*10,[1]Hugst!$R$4:$W$4,0))))</f>
        <v>359.73596259699673</v>
      </c>
      <c r="N18">
        <f ca="1">IF($C18-N$1&lt;År1,0,M17*(1-VLOOKUP($A18,[1]Hugst!$R$5:$W$9,MATCH(ROUNDUP((N$1)/10,0)*10,[1]Hugst!$R$4:$W$4,0))))</f>
        <v>360.2584169212887</v>
      </c>
      <c r="O18">
        <f ca="1">IF($C18-O$1&lt;År1,0,N17*(1-VLOOKUP($A18,[1]Hugst!$R$5:$W$9,MATCH(ROUNDUP((O$1)/10,0)*10,[1]Hugst!$R$4:$W$4,0))))</f>
        <v>360.7834966441892</v>
      </c>
      <c r="P18">
        <f ca="1">IF($C18-P$1&lt;År1,0,O17*(1-VLOOKUP($A18,[1]Hugst!$R$5:$W$9,MATCH(ROUNDUP((P$1)/10,0)*10,[1]Hugst!$R$4:$W$4,0))))</f>
        <v>361.31121495866228</v>
      </c>
      <c r="Q18">
        <f ca="1">IF($C18-Q$1&lt;År1,0,P17*(1-VLOOKUP($A18,[1]Hugst!$R$5:$W$9,MATCH(ROUNDUP((Q$1)/10,0)*10,[1]Hugst!$R$4:$W$4,0))))</f>
        <v>361.84158512396232</v>
      </c>
      <c r="R18">
        <f ca="1">IF($C18-R$1&lt;År1,0,Q17*(1-VLOOKUP($A18,[1]Hugst!$R$5:$W$9,MATCH(ROUNDUP((R$1)/10,0)*10,[1]Hugst!$R$4:$W$4,0))))</f>
        <v>362.37462046597341</v>
      </c>
      <c r="S18">
        <f ca="1">IF($C18-S$1&lt;År1,0,R17*(1-VLOOKUP($A18,[1]Hugst!$R$5:$W$9,MATCH(ROUNDUP((S$1)/10,0)*10,[1]Hugst!$R$4:$W$4,0))))</f>
        <v>362.9103343775422</v>
      </c>
      <c r="T18">
        <f ca="1">IF($C18-T$1&lt;År1,0,S17*(1-VLOOKUP($A18,[1]Hugst!$R$5:$W$9,MATCH(ROUNDUP((T$1)/10,0)*10,[1]Hugst!$R$4:$W$4,0))))</f>
        <v>363.44874031881761</v>
      </c>
      <c r="U18">
        <f ca="1">IF($C18-U$1&lt;År1,0,T17*(1-VLOOKUP($A18,[1]Hugst!$R$5:$W$9,MATCH(ROUNDUP((U$1)/10,0)*10,[1]Hugst!$R$4:$W$4,0))))</f>
        <v>363.98985181758314</v>
      </c>
      <c r="V18">
        <f ca="1">IF($C18-V$1&lt;År1,0,U17*(1-VLOOKUP($A18,[1]Hugst!$R$5:$W$9,MATCH(ROUNDUP((V$1)/10,0)*10,[1]Hugst!$R$4:$W$4,0))))</f>
        <v>364.53368246961463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501.80216770826922</v>
      </c>
      <c r="G19">
        <f ca="1">IF($C19-G$1&lt;År1,0,F18*(1-VLOOKUP($A19,[1]Hugst!$R$5:$W$9,MATCH(ROUNDUP((G$1)/10,0)*10,[1]Hugst!$R$4:$W$4,0))))</f>
        <v>502.30408594319869</v>
      </c>
      <c r="H19">
        <f ca="1">IF($C19-H$1&lt;År1,0,G18*(1-VLOOKUP($A19,[1]Hugst!$R$5:$W$9,MATCH(ROUNDUP((H$1)/10,0)*10,[1]Hugst!$R$4:$W$4,0))))</f>
        <v>502.80852638031337</v>
      </c>
      <c r="I19">
        <f ca="1">IF($C19-I$1&lt;År1,0,H18*(1-VLOOKUP($A19,[1]Hugst!$R$5:$W$9,MATCH(ROUNDUP((I$1)/10,0)*10,[1]Hugst!$R$4:$W$4,0))))</f>
        <v>503.31550169399378</v>
      </c>
      <c r="J19">
        <f ca="1">IF($C19-J$1&lt;År1,0,I18*(1-VLOOKUP($A19,[1]Hugst!$R$5:$W$9,MATCH(ROUNDUP((J$1)/10,0)*10,[1]Hugst!$R$4:$W$4,0))))</f>
        <v>503.82502462231758</v>
      </c>
      <c r="K19">
        <f ca="1">IF($C19-K$1&lt;År1,0,J18*(1-VLOOKUP($A19,[1]Hugst!$R$5:$W$9,MATCH(ROUNDUP((K$1)/10,0)*10,[1]Hugst!$R$4:$W$4,0))))</f>
        <v>504.33710796736972</v>
      </c>
      <c r="L19">
        <f ca="1">IF($C19-L$1&lt;År1,0,K18*(1-VLOOKUP($A19,[1]Hugst!$R$5:$W$9,MATCH(ROUNDUP((L$1)/10,0)*10,[1]Hugst!$R$4:$W$4,0))))</f>
        <v>504.85176459555504</v>
      </c>
      <c r="M19">
        <f ca="1">IF($C19-M$1&lt;År1,0,L18*(1-VLOOKUP($A19,[1]Hugst!$R$5:$W$9,MATCH(ROUNDUP((M$1)/10,0)*10,[1]Hugst!$R$4:$W$4,0))))</f>
        <v>359.21612054433638</v>
      </c>
      <c r="N19">
        <f ca="1">IF($C19-N$1&lt;År1,0,M18*(1-VLOOKUP($A19,[1]Hugst!$R$5:$W$9,MATCH(ROUNDUP((N$1)/10,0)*10,[1]Hugst!$R$4:$W$4,0))))</f>
        <v>359.73596259699673</v>
      </c>
      <c r="O19">
        <f ca="1">IF($C19-O$1&lt;År1,0,N18*(1-VLOOKUP($A19,[1]Hugst!$R$5:$W$9,MATCH(ROUNDUP((O$1)/10,0)*10,[1]Hugst!$R$4:$W$4,0))))</f>
        <v>360.2584169212887</v>
      </c>
      <c r="P19">
        <f ca="1">IF($C19-P$1&lt;År1,0,O18*(1-VLOOKUP($A19,[1]Hugst!$R$5:$W$9,MATCH(ROUNDUP((P$1)/10,0)*10,[1]Hugst!$R$4:$W$4,0))))</f>
        <v>360.7834966441892</v>
      </c>
      <c r="Q19">
        <f ca="1">IF($C19-Q$1&lt;År1,0,P18*(1-VLOOKUP($A19,[1]Hugst!$R$5:$W$9,MATCH(ROUNDUP((Q$1)/10,0)*10,[1]Hugst!$R$4:$W$4,0))))</f>
        <v>361.31121495866228</v>
      </c>
      <c r="R19">
        <f ca="1">IF($C19-R$1&lt;År1,0,Q18*(1-VLOOKUP($A19,[1]Hugst!$R$5:$W$9,MATCH(ROUNDUP((R$1)/10,0)*10,[1]Hugst!$R$4:$W$4,0))))</f>
        <v>361.84158512396232</v>
      </c>
      <c r="S19">
        <f ca="1">IF($C19-S$1&lt;År1,0,R18*(1-VLOOKUP($A19,[1]Hugst!$R$5:$W$9,MATCH(ROUNDUP((S$1)/10,0)*10,[1]Hugst!$R$4:$W$4,0))))</f>
        <v>362.37462046597341</v>
      </c>
      <c r="T19">
        <f ca="1">IF($C19-T$1&lt;År1,0,S18*(1-VLOOKUP($A19,[1]Hugst!$R$5:$W$9,MATCH(ROUNDUP((T$1)/10,0)*10,[1]Hugst!$R$4:$W$4,0))))</f>
        <v>362.9103343775422</v>
      </c>
      <c r="U19">
        <f ca="1">IF($C19-U$1&lt;År1,0,T18*(1-VLOOKUP($A19,[1]Hugst!$R$5:$W$9,MATCH(ROUNDUP((U$1)/10,0)*10,[1]Hugst!$R$4:$W$4,0))))</f>
        <v>363.44874031881761</v>
      </c>
      <c r="V19">
        <f ca="1">IF($C19-V$1&lt;År1,0,U18*(1-VLOOKUP($A19,[1]Hugst!$R$5:$W$9,MATCH(ROUNDUP((V$1)/10,0)*10,[1]Hugst!$R$4:$W$4,0))))</f>
        <v>363.98985181758314</v>
      </c>
      <c r="W19">
        <f ca="1">IF($C19-W$1&lt;År1,0,V18*(1-VLOOKUP($A19,[1]Hugst!$R$5:$W$9,MATCH(ROUNDUP((W$1)/10,0)*10,[1]Hugst!$R$4:$W$4,0))))</f>
        <v>364.53368246961463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501.30275906451851</v>
      </c>
      <c r="G20">
        <f ca="1">IF($C20-G$1&lt;År1,0,F19*(1-VLOOKUP($A20,[1]Hugst!$R$5:$W$9,MATCH(ROUNDUP((G$1)/10,0)*10,[1]Hugst!$R$4:$W$4,0))))</f>
        <v>501.80216770826922</v>
      </c>
      <c r="H20">
        <f ca="1">IF($C20-H$1&lt;År1,0,G19*(1-VLOOKUP($A20,[1]Hugst!$R$5:$W$9,MATCH(ROUNDUP((H$1)/10,0)*10,[1]Hugst!$R$4:$W$4,0))))</f>
        <v>502.30408594319869</v>
      </c>
      <c r="I20">
        <f ca="1">IF($C20-I$1&lt;År1,0,H19*(1-VLOOKUP($A20,[1]Hugst!$R$5:$W$9,MATCH(ROUNDUP((I$1)/10,0)*10,[1]Hugst!$R$4:$W$4,0))))</f>
        <v>502.80852638031337</v>
      </c>
      <c r="J20">
        <f ca="1">IF($C20-J$1&lt;År1,0,I19*(1-VLOOKUP($A20,[1]Hugst!$R$5:$W$9,MATCH(ROUNDUP((J$1)/10,0)*10,[1]Hugst!$R$4:$W$4,0))))</f>
        <v>503.31550169399378</v>
      </c>
      <c r="K20">
        <f ca="1">IF($C20-K$1&lt;År1,0,J19*(1-VLOOKUP($A20,[1]Hugst!$R$5:$W$9,MATCH(ROUNDUP((K$1)/10,0)*10,[1]Hugst!$R$4:$W$4,0))))</f>
        <v>503.82502462231758</v>
      </c>
      <c r="L20">
        <f ca="1">IF($C20-L$1&lt;År1,0,K19*(1-VLOOKUP($A20,[1]Hugst!$R$5:$W$9,MATCH(ROUNDUP((L$1)/10,0)*10,[1]Hugst!$R$4:$W$4,0))))</f>
        <v>504.33710796736972</v>
      </c>
      <c r="M20">
        <f ca="1">IF($C20-M$1&lt;År1,0,L19*(1-VLOOKUP($A20,[1]Hugst!$R$5:$W$9,MATCH(ROUNDUP((M$1)/10,0)*10,[1]Hugst!$R$4:$W$4,0))))</f>
        <v>504.85176459555504</v>
      </c>
      <c r="N20">
        <f ca="1">IF($C20-N$1&lt;År1,0,M19*(1-VLOOKUP($A20,[1]Hugst!$R$5:$W$9,MATCH(ROUNDUP((N$1)/10,0)*10,[1]Hugst!$R$4:$W$4,0))))</f>
        <v>359.21612054433638</v>
      </c>
      <c r="O20">
        <f ca="1">IF($C20-O$1&lt;År1,0,N19*(1-VLOOKUP($A20,[1]Hugst!$R$5:$W$9,MATCH(ROUNDUP((O$1)/10,0)*10,[1]Hugst!$R$4:$W$4,0))))</f>
        <v>359.73596259699673</v>
      </c>
      <c r="P20">
        <f ca="1">IF($C20-P$1&lt;År1,0,O19*(1-VLOOKUP($A20,[1]Hugst!$R$5:$W$9,MATCH(ROUNDUP((P$1)/10,0)*10,[1]Hugst!$R$4:$W$4,0))))</f>
        <v>360.2584169212887</v>
      </c>
      <c r="Q20">
        <f ca="1">IF($C20-Q$1&lt;År1,0,P19*(1-VLOOKUP($A20,[1]Hugst!$R$5:$W$9,MATCH(ROUNDUP((Q$1)/10,0)*10,[1]Hugst!$R$4:$W$4,0))))</f>
        <v>360.7834966441892</v>
      </c>
      <c r="R20">
        <f ca="1">IF($C20-R$1&lt;År1,0,Q19*(1-VLOOKUP($A20,[1]Hugst!$R$5:$W$9,MATCH(ROUNDUP((R$1)/10,0)*10,[1]Hugst!$R$4:$W$4,0))))</f>
        <v>361.31121495866228</v>
      </c>
      <c r="S20">
        <f ca="1">IF($C20-S$1&lt;År1,0,R19*(1-VLOOKUP($A20,[1]Hugst!$R$5:$W$9,MATCH(ROUNDUP((S$1)/10,0)*10,[1]Hugst!$R$4:$W$4,0))))</f>
        <v>361.84158512396232</v>
      </c>
      <c r="T20">
        <f ca="1">IF($C20-T$1&lt;År1,0,S19*(1-VLOOKUP($A20,[1]Hugst!$R$5:$W$9,MATCH(ROUNDUP((T$1)/10,0)*10,[1]Hugst!$R$4:$W$4,0))))</f>
        <v>362.37462046597341</v>
      </c>
      <c r="U20">
        <f ca="1">IF($C20-U$1&lt;År1,0,T19*(1-VLOOKUP($A20,[1]Hugst!$R$5:$W$9,MATCH(ROUNDUP((U$1)/10,0)*10,[1]Hugst!$R$4:$W$4,0))))</f>
        <v>362.9103343775422</v>
      </c>
      <c r="V20">
        <f ca="1">IF($C20-V$1&lt;År1,0,U19*(1-VLOOKUP($A20,[1]Hugst!$R$5:$W$9,MATCH(ROUNDUP((V$1)/10,0)*10,[1]Hugst!$R$4:$W$4,0))))</f>
        <v>363.44874031881761</v>
      </c>
      <c r="W20">
        <f ca="1">IF($C20-W$1&lt;År1,0,V19*(1-VLOOKUP($A20,[1]Hugst!$R$5:$W$9,MATCH(ROUNDUP((W$1)/10,0)*10,[1]Hugst!$R$4:$W$4,0))))</f>
        <v>363.98985181758314</v>
      </c>
      <c r="X20">
        <f ca="1">IF($C20-X$1&lt;År1,0,W19*(1-VLOOKUP($A20,[1]Hugst!$R$5:$W$9,MATCH(ROUNDUP((X$1)/10,0)*10,[1]Hugst!$R$4:$W$4,0))))</f>
        <v>364.53368246961463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500.80584746397761</v>
      </c>
      <c r="G21">
        <f ca="1">IF($C21-G$1&lt;År1,0,F20*(1-VLOOKUP($A21,[1]Hugst!$R$5:$W$9,MATCH(ROUNDUP((G$1)/10,0)*10,[1]Hugst!$R$4:$W$4,0))))</f>
        <v>501.30275906451851</v>
      </c>
      <c r="H21">
        <f ca="1">IF($C21-H$1&lt;År1,0,G20*(1-VLOOKUP($A21,[1]Hugst!$R$5:$W$9,MATCH(ROUNDUP((H$1)/10,0)*10,[1]Hugst!$R$4:$W$4,0))))</f>
        <v>501.80216770826922</v>
      </c>
      <c r="I21">
        <f ca="1">IF($C21-I$1&lt;År1,0,H20*(1-VLOOKUP($A21,[1]Hugst!$R$5:$W$9,MATCH(ROUNDUP((I$1)/10,0)*10,[1]Hugst!$R$4:$W$4,0))))</f>
        <v>502.30408594319869</v>
      </c>
      <c r="J21">
        <f ca="1">IF($C21-J$1&lt;År1,0,I20*(1-VLOOKUP($A21,[1]Hugst!$R$5:$W$9,MATCH(ROUNDUP((J$1)/10,0)*10,[1]Hugst!$R$4:$W$4,0))))</f>
        <v>502.80852638031337</v>
      </c>
      <c r="K21">
        <f ca="1">IF($C21-K$1&lt;År1,0,J20*(1-VLOOKUP($A21,[1]Hugst!$R$5:$W$9,MATCH(ROUNDUP((K$1)/10,0)*10,[1]Hugst!$R$4:$W$4,0))))</f>
        <v>503.31550169399378</v>
      </c>
      <c r="L21">
        <f ca="1">IF($C21-L$1&lt;År1,0,K20*(1-VLOOKUP($A21,[1]Hugst!$R$5:$W$9,MATCH(ROUNDUP((L$1)/10,0)*10,[1]Hugst!$R$4:$W$4,0))))</f>
        <v>503.82502462231758</v>
      </c>
      <c r="M21">
        <f ca="1">IF($C21-M$1&lt;År1,0,L20*(1-VLOOKUP($A21,[1]Hugst!$R$5:$W$9,MATCH(ROUNDUP((M$1)/10,0)*10,[1]Hugst!$R$4:$W$4,0))))</f>
        <v>504.33710796736972</v>
      </c>
      <c r="N21">
        <f ca="1">IF($C21-N$1&lt;År1,0,M20*(1-VLOOKUP($A21,[1]Hugst!$R$5:$W$9,MATCH(ROUNDUP((N$1)/10,0)*10,[1]Hugst!$R$4:$W$4,0))))</f>
        <v>504.85176459555504</v>
      </c>
      <c r="O21">
        <f ca="1">IF($C21-O$1&lt;År1,0,N20*(1-VLOOKUP($A21,[1]Hugst!$R$5:$W$9,MATCH(ROUNDUP((O$1)/10,0)*10,[1]Hugst!$R$4:$W$4,0))))</f>
        <v>359.21612054433638</v>
      </c>
      <c r="P21">
        <f ca="1">IF($C21-P$1&lt;År1,0,O20*(1-VLOOKUP($A21,[1]Hugst!$R$5:$W$9,MATCH(ROUNDUP((P$1)/10,0)*10,[1]Hugst!$R$4:$W$4,0))))</f>
        <v>359.73596259699673</v>
      </c>
      <c r="Q21">
        <f ca="1">IF($C21-Q$1&lt;År1,0,P20*(1-VLOOKUP($A21,[1]Hugst!$R$5:$W$9,MATCH(ROUNDUP((Q$1)/10,0)*10,[1]Hugst!$R$4:$W$4,0))))</f>
        <v>360.2584169212887</v>
      </c>
      <c r="R21">
        <f ca="1">IF($C21-R$1&lt;År1,0,Q20*(1-VLOOKUP($A21,[1]Hugst!$R$5:$W$9,MATCH(ROUNDUP((R$1)/10,0)*10,[1]Hugst!$R$4:$W$4,0))))</f>
        <v>360.7834966441892</v>
      </c>
      <c r="S21">
        <f ca="1">IF($C21-S$1&lt;År1,0,R20*(1-VLOOKUP($A21,[1]Hugst!$R$5:$W$9,MATCH(ROUNDUP((S$1)/10,0)*10,[1]Hugst!$R$4:$W$4,0))))</f>
        <v>361.31121495866228</v>
      </c>
      <c r="T21">
        <f ca="1">IF($C21-T$1&lt;År1,0,S20*(1-VLOOKUP($A21,[1]Hugst!$R$5:$W$9,MATCH(ROUNDUP((T$1)/10,0)*10,[1]Hugst!$R$4:$W$4,0))))</f>
        <v>361.84158512396232</v>
      </c>
      <c r="U21">
        <f ca="1">IF($C21-U$1&lt;År1,0,T20*(1-VLOOKUP($A21,[1]Hugst!$R$5:$W$9,MATCH(ROUNDUP((U$1)/10,0)*10,[1]Hugst!$R$4:$W$4,0))))</f>
        <v>362.37462046597341</v>
      </c>
      <c r="V21">
        <f ca="1">IF($C21-V$1&lt;År1,0,U20*(1-VLOOKUP($A21,[1]Hugst!$R$5:$W$9,MATCH(ROUNDUP((V$1)/10,0)*10,[1]Hugst!$R$4:$W$4,0))))</f>
        <v>362.9103343775422</v>
      </c>
      <c r="W21">
        <f ca="1">IF($C21-W$1&lt;År1,0,V20*(1-VLOOKUP($A21,[1]Hugst!$R$5:$W$9,MATCH(ROUNDUP((W$1)/10,0)*10,[1]Hugst!$R$4:$W$4,0))))</f>
        <v>363.44874031881761</v>
      </c>
      <c r="X21">
        <f ca="1">IF($C21-X$1&lt;År1,0,W20*(1-VLOOKUP($A21,[1]Hugst!$R$5:$W$9,MATCH(ROUNDUP((X$1)/10,0)*10,[1]Hugst!$R$4:$W$4,0))))</f>
        <v>363.98985181758314</v>
      </c>
      <c r="Y21">
        <f ca="1">IF($C21-Y$1&lt;År1,0,X20*(1-VLOOKUP($A21,[1]Hugst!$R$5:$W$9,MATCH(ROUNDUP((Y$1)/10,0)*10,[1]Hugst!$R$4:$W$4,0))))</f>
        <v>364.53368246961463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500.31142042144751</v>
      </c>
      <c r="G22">
        <f ca="1">IF($C22-G$1&lt;År1,0,F21*(1-VLOOKUP($A22,[1]Hugst!$R$5:$W$9,MATCH(ROUNDUP((G$1)/10,0)*10,[1]Hugst!$R$4:$W$4,0))))</f>
        <v>500.80584746397761</v>
      </c>
      <c r="H22">
        <f ca="1">IF($C22-H$1&lt;År1,0,G21*(1-VLOOKUP($A22,[1]Hugst!$R$5:$W$9,MATCH(ROUNDUP((H$1)/10,0)*10,[1]Hugst!$R$4:$W$4,0))))</f>
        <v>501.30275906451851</v>
      </c>
      <c r="I22">
        <f ca="1">IF($C22-I$1&lt;År1,0,H21*(1-VLOOKUP($A22,[1]Hugst!$R$5:$W$9,MATCH(ROUNDUP((I$1)/10,0)*10,[1]Hugst!$R$4:$W$4,0))))</f>
        <v>501.80216770826922</v>
      </c>
      <c r="J22">
        <f ca="1">IF($C22-J$1&lt;År1,0,I21*(1-VLOOKUP($A22,[1]Hugst!$R$5:$W$9,MATCH(ROUNDUP((J$1)/10,0)*10,[1]Hugst!$R$4:$W$4,0))))</f>
        <v>502.30408594319869</v>
      </c>
      <c r="K22">
        <f ca="1">IF($C22-K$1&lt;År1,0,J21*(1-VLOOKUP($A22,[1]Hugst!$R$5:$W$9,MATCH(ROUNDUP((K$1)/10,0)*10,[1]Hugst!$R$4:$W$4,0))))</f>
        <v>502.80852638031337</v>
      </c>
      <c r="L22">
        <f ca="1">IF($C22-L$1&lt;År1,0,K21*(1-VLOOKUP($A22,[1]Hugst!$R$5:$W$9,MATCH(ROUNDUP((L$1)/10,0)*10,[1]Hugst!$R$4:$W$4,0))))</f>
        <v>503.31550169399378</v>
      </c>
      <c r="M22">
        <f ca="1">IF($C22-M$1&lt;År1,0,L21*(1-VLOOKUP($A22,[1]Hugst!$R$5:$W$9,MATCH(ROUNDUP((M$1)/10,0)*10,[1]Hugst!$R$4:$W$4,0))))</f>
        <v>503.82502462231758</v>
      </c>
      <c r="N22">
        <f ca="1">IF($C22-N$1&lt;År1,0,M21*(1-VLOOKUP($A22,[1]Hugst!$R$5:$W$9,MATCH(ROUNDUP((N$1)/10,0)*10,[1]Hugst!$R$4:$W$4,0))))</f>
        <v>504.33710796736972</v>
      </c>
      <c r="O22">
        <f ca="1">IF($C22-O$1&lt;År1,0,N21*(1-VLOOKUP($A22,[1]Hugst!$R$5:$W$9,MATCH(ROUNDUP((O$1)/10,0)*10,[1]Hugst!$R$4:$W$4,0))))</f>
        <v>504.85176459555504</v>
      </c>
      <c r="P22">
        <f ca="1">IF($C22-P$1&lt;År1,0,O21*(1-VLOOKUP($A22,[1]Hugst!$R$5:$W$9,MATCH(ROUNDUP((P$1)/10,0)*10,[1]Hugst!$R$4:$W$4,0))))</f>
        <v>359.21612054433638</v>
      </c>
      <c r="Q22">
        <f ca="1">IF($C22-Q$1&lt;År1,0,P21*(1-VLOOKUP($A22,[1]Hugst!$R$5:$W$9,MATCH(ROUNDUP((Q$1)/10,0)*10,[1]Hugst!$R$4:$W$4,0))))</f>
        <v>359.73596259699673</v>
      </c>
      <c r="R22">
        <f ca="1">IF($C22-R$1&lt;År1,0,Q21*(1-VLOOKUP($A22,[1]Hugst!$R$5:$W$9,MATCH(ROUNDUP((R$1)/10,0)*10,[1]Hugst!$R$4:$W$4,0))))</f>
        <v>360.2584169212887</v>
      </c>
      <c r="S22">
        <f ca="1">IF($C22-S$1&lt;År1,0,R21*(1-VLOOKUP($A22,[1]Hugst!$R$5:$W$9,MATCH(ROUNDUP((S$1)/10,0)*10,[1]Hugst!$R$4:$W$4,0))))</f>
        <v>360.7834966441892</v>
      </c>
      <c r="T22">
        <f ca="1">IF($C22-T$1&lt;År1,0,S21*(1-VLOOKUP($A22,[1]Hugst!$R$5:$W$9,MATCH(ROUNDUP((T$1)/10,0)*10,[1]Hugst!$R$4:$W$4,0))))</f>
        <v>361.31121495866228</v>
      </c>
      <c r="U22">
        <f ca="1">IF($C22-U$1&lt;År1,0,T21*(1-VLOOKUP($A22,[1]Hugst!$R$5:$W$9,MATCH(ROUNDUP((U$1)/10,0)*10,[1]Hugst!$R$4:$W$4,0))))</f>
        <v>361.84158512396232</v>
      </c>
      <c r="V22">
        <f ca="1">IF($C22-V$1&lt;År1,0,U21*(1-VLOOKUP($A22,[1]Hugst!$R$5:$W$9,MATCH(ROUNDUP((V$1)/10,0)*10,[1]Hugst!$R$4:$W$4,0))))</f>
        <v>362.37462046597341</v>
      </c>
      <c r="W22">
        <f ca="1">IF($C22-W$1&lt;År1,0,V21*(1-VLOOKUP($A22,[1]Hugst!$R$5:$W$9,MATCH(ROUNDUP((W$1)/10,0)*10,[1]Hugst!$R$4:$W$4,0))))</f>
        <v>362.9103343775422</v>
      </c>
      <c r="X22">
        <f ca="1">IF($C22-X$1&lt;År1,0,W21*(1-VLOOKUP($A22,[1]Hugst!$R$5:$W$9,MATCH(ROUNDUP((X$1)/10,0)*10,[1]Hugst!$R$4:$W$4,0))))</f>
        <v>363.44874031881761</v>
      </c>
      <c r="Y22">
        <f ca="1">IF($C22-Y$1&lt;År1,0,X21*(1-VLOOKUP($A22,[1]Hugst!$R$5:$W$9,MATCH(ROUNDUP((Y$1)/10,0)*10,[1]Hugst!$R$4:$W$4,0))))</f>
        <v>363.98985181758314</v>
      </c>
      <c r="Z22">
        <f ca="1">IF($C22-Z$1&lt;År1,0,Y21*(1-VLOOKUP($A22,[1]Hugst!$R$5:$W$9,MATCH(ROUNDUP((Z$1)/10,0)*10,[1]Hugst!$R$4:$W$4,0))))</f>
        <v>364.53368246961463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499.8194655141296</v>
      </c>
      <c r="G23">
        <f ca="1">IF($C23-G$1&lt;År1,0,F22*(1-VLOOKUP($A23,[1]Hugst!$R$5:$W$9,MATCH(ROUNDUP((G$1)/10,0)*10,[1]Hugst!$R$4:$W$4,0))))</f>
        <v>500.31142042144751</v>
      </c>
      <c r="H23">
        <f ca="1">IF($C23-H$1&lt;År1,0,G22*(1-VLOOKUP($A23,[1]Hugst!$R$5:$W$9,MATCH(ROUNDUP((H$1)/10,0)*10,[1]Hugst!$R$4:$W$4,0))))</f>
        <v>500.80584746397761</v>
      </c>
      <c r="I23">
        <f ca="1">IF($C23-I$1&lt;År1,0,H22*(1-VLOOKUP($A23,[1]Hugst!$R$5:$W$9,MATCH(ROUNDUP((I$1)/10,0)*10,[1]Hugst!$R$4:$W$4,0))))</f>
        <v>501.30275906451851</v>
      </c>
      <c r="J23">
        <f ca="1">IF($C23-J$1&lt;År1,0,I22*(1-VLOOKUP($A23,[1]Hugst!$R$5:$W$9,MATCH(ROUNDUP((J$1)/10,0)*10,[1]Hugst!$R$4:$W$4,0))))</f>
        <v>501.80216770826922</v>
      </c>
      <c r="K23">
        <f ca="1">IF($C23-K$1&lt;År1,0,J22*(1-VLOOKUP($A23,[1]Hugst!$R$5:$W$9,MATCH(ROUNDUP((K$1)/10,0)*10,[1]Hugst!$R$4:$W$4,0))))</f>
        <v>502.30408594319869</v>
      </c>
      <c r="L23">
        <f ca="1">IF($C23-L$1&lt;År1,0,K22*(1-VLOOKUP($A23,[1]Hugst!$R$5:$W$9,MATCH(ROUNDUP((L$1)/10,0)*10,[1]Hugst!$R$4:$W$4,0))))</f>
        <v>502.80852638031337</v>
      </c>
      <c r="M23">
        <f ca="1">IF($C23-M$1&lt;År1,0,L22*(1-VLOOKUP($A23,[1]Hugst!$R$5:$W$9,MATCH(ROUNDUP((M$1)/10,0)*10,[1]Hugst!$R$4:$W$4,0))))</f>
        <v>503.31550169399378</v>
      </c>
      <c r="N23">
        <f ca="1">IF($C23-N$1&lt;År1,0,M22*(1-VLOOKUP($A23,[1]Hugst!$R$5:$W$9,MATCH(ROUNDUP((N$1)/10,0)*10,[1]Hugst!$R$4:$W$4,0))))</f>
        <v>503.82502462231758</v>
      </c>
      <c r="O23">
        <f ca="1">IF($C23-O$1&lt;År1,0,N22*(1-VLOOKUP($A23,[1]Hugst!$R$5:$W$9,MATCH(ROUNDUP((O$1)/10,0)*10,[1]Hugst!$R$4:$W$4,0))))</f>
        <v>504.33710796736972</v>
      </c>
      <c r="P23">
        <f ca="1">IF($C23-P$1&lt;År1,0,O22*(1-VLOOKUP($A23,[1]Hugst!$R$5:$W$9,MATCH(ROUNDUP((P$1)/10,0)*10,[1]Hugst!$R$4:$W$4,0))))</f>
        <v>504.85176459555504</v>
      </c>
      <c r="Q23">
        <f ca="1">IF($C23-Q$1&lt;År1,0,P22*(1-VLOOKUP($A23,[1]Hugst!$R$5:$W$9,MATCH(ROUNDUP((Q$1)/10,0)*10,[1]Hugst!$R$4:$W$4,0))))</f>
        <v>359.21612054433638</v>
      </c>
      <c r="R23">
        <f ca="1">IF($C23-R$1&lt;År1,0,Q22*(1-VLOOKUP($A23,[1]Hugst!$R$5:$W$9,MATCH(ROUNDUP((R$1)/10,0)*10,[1]Hugst!$R$4:$W$4,0))))</f>
        <v>359.73596259699673</v>
      </c>
      <c r="S23">
        <f ca="1">IF($C23-S$1&lt;År1,0,R22*(1-VLOOKUP($A23,[1]Hugst!$R$5:$W$9,MATCH(ROUNDUP((S$1)/10,0)*10,[1]Hugst!$R$4:$W$4,0))))</f>
        <v>360.2584169212887</v>
      </c>
      <c r="T23">
        <f ca="1">IF($C23-T$1&lt;År1,0,S22*(1-VLOOKUP($A23,[1]Hugst!$R$5:$W$9,MATCH(ROUNDUP((T$1)/10,0)*10,[1]Hugst!$R$4:$W$4,0))))</f>
        <v>360.7834966441892</v>
      </c>
      <c r="U23">
        <f ca="1">IF($C23-U$1&lt;År1,0,T22*(1-VLOOKUP($A23,[1]Hugst!$R$5:$W$9,MATCH(ROUNDUP((U$1)/10,0)*10,[1]Hugst!$R$4:$W$4,0))))</f>
        <v>361.31121495866228</v>
      </c>
      <c r="V23">
        <f ca="1">IF($C23-V$1&lt;År1,0,U22*(1-VLOOKUP($A23,[1]Hugst!$R$5:$W$9,MATCH(ROUNDUP((V$1)/10,0)*10,[1]Hugst!$R$4:$W$4,0))))</f>
        <v>361.84158512396232</v>
      </c>
      <c r="W23">
        <f ca="1">IF($C23-W$1&lt;År1,0,V22*(1-VLOOKUP($A23,[1]Hugst!$R$5:$W$9,MATCH(ROUNDUP((W$1)/10,0)*10,[1]Hugst!$R$4:$W$4,0))))</f>
        <v>362.37462046597341</v>
      </c>
      <c r="X23">
        <f ca="1">IF($C23-X$1&lt;År1,0,W22*(1-VLOOKUP($A23,[1]Hugst!$R$5:$W$9,MATCH(ROUNDUP((X$1)/10,0)*10,[1]Hugst!$R$4:$W$4,0))))</f>
        <v>362.9103343775422</v>
      </c>
      <c r="Y23">
        <f ca="1">IF($C23-Y$1&lt;År1,0,X22*(1-VLOOKUP($A23,[1]Hugst!$R$5:$W$9,MATCH(ROUNDUP((Y$1)/10,0)*10,[1]Hugst!$R$4:$W$4,0))))</f>
        <v>363.44874031881761</v>
      </c>
      <c r="Z23">
        <f ca="1">IF($C23-Z$1&lt;År1,0,Y22*(1-VLOOKUP($A23,[1]Hugst!$R$5:$W$9,MATCH(ROUNDUP((Z$1)/10,0)*10,[1]Hugst!$R$4:$W$4,0))))</f>
        <v>363.98985181758314</v>
      </c>
      <c r="AA23">
        <f ca="1">IF($C23-AA$1&lt;År1,0,Z22*(1-VLOOKUP($A23,[1]Hugst!$R$5:$W$9,MATCH(ROUNDUP((AA$1)/10,0)*10,[1]Hugst!$R$4:$W$4,0))))</f>
        <v>364.53368246961463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499.32997038134494</v>
      </c>
      <c r="G24">
        <f ca="1">IF($C24-G$1&lt;År1,0,F23*(1-VLOOKUP($A24,[1]Hugst!$R$5:$W$9,MATCH(ROUNDUP((G$1)/10,0)*10,[1]Hugst!$R$4:$W$4,0))))</f>
        <v>499.8194655141296</v>
      </c>
      <c r="H24">
        <f ca="1">IF($C24-H$1&lt;År1,0,G23*(1-VLOOKUP($A24,[1]Hugst!$R$5:$W$9,MATCH(ROUNDUP((H$1)/10,0)*10,[1]Hugst!$R$4:$W$4,0))))</f>
        <v>500.31142042144751</v>
      </c>
      <c r="I24">
        <f ca="1">IF($C24-I$1&lt;År1,0,H23*(1-VLOOKUP($A24,[1]Hugst!$R$5:$W$9,MATCH(ROUNDUP((I$1)/10,0)*10,[1]Hugst!$R$4:$W$4,0))))</f>
        <v>500.80584746397761</v>
      </c>
      <c r="J24">
        <f ca="1">IF($C24-J$1&lt;År1,0,I23*(1-VLOOKUP($A24,[1]Hugst!$R$5:$W$9,MATCH(ROUNDUP((J$1)/10,0)*10,[1]Hugst!$R$4:$W$4,0))))</f>
        <v>501.30275906451851</v>
      </c>
      <c r="K24">
        <f ca="1">IF($C24-K$1&lt;År1,0,J23*(1-VLOOKUP($A24,[1]Hugst!$R$5:$W$9,MATCH(ROUNDUP((K$1)/10,0)*10,[1]Hugst!$R$4:$W$4,0))))</f>
        <v>501.80216770826922</v>
      </c>
      <c r="L24">
        <f ca="1">IF($C24-L$1&lt;År1,0,K23*(1-VLOOKUP($A24,[1]Hugst!$R$5:$W$9,MATCH(ROUNDUP((L$1)/10,0)*10,[1]Hugst!$R$4:$W$4,0))))</f>
        <v>502.30408594319869</v>
      </c>
      <c r="M24">
        <f ca="1">IF($C24-M$1&lt;År1,0,L23*(1-VLOOKUP($A24,[1]Hugst!$R$5:$W$9,MATCH(ROUNDUP((M$1)/10,0)*10,[1]Hugst!$R$4:$W$4,0))))</f>
        <v>502.80852638031337</v>
      </c>
      <c r="N24">
        <f ca="1">IF($C24-N$1&lt;År1,0,M23*(1-VLOOKUP($A24,[1]Hugst!$R$5:$W$9,MATCH(ROUNDUP((N$1)/10,0)*10,[1]Hugst!$R$4:$W$4,0))))</f>
        <v>503.31550169399378</v>
      </c>
      <c r="O24">
        <f ca="1">IF($C24-O$1&lt;År1,0,N23*(1-VLOOKUP($A24,[1]Hugst!$R$5:$W$9,MATCH(ROUNDUP((O$1)/10,0)*10,[1]Hugst!$R$4:$W$4,0))))</f>
        <v>503.82502462231758</v>
      </c>
      <c r="P24">
        <f ca="1">IF($C24-P$1&lt;År1,0,O23*(1-VLOOKUP($A24,[1]Hugst!$R$5:$W$9,MATCH(ROUNDUP((P$1)/10,0)*10,[1]Hugst!$R$4:$W$4,0))))</f>
        <v>504.33710796736972</v>
      </c>
      <c r="Q24">
        <f ca="1">IF($C24-Q$1&lt;År1,0,P23*(1-VLOOKUP($A24,[1]Hugst!$R$5:$W$9,MATCH(ROUNDUP((Q$1)/10,0)*10,[1]Hugst!$R$4:$W$4,0))))</f>
        <v>504.85176459555504</v>
      </c>
      <c r="R24">
        <f ca="1">IF($C24-R$1&lt;År1,0,Q23*(1-VLOOKUP($A24,[1]Hugst!$R$5:$W$9,MATCH(ROUNDUP((R$1)/10,0)*10,[1]Hugst!$R$4:$W$4,0))))</f>
        <v>359.21612054433638</v>
      </c>
      <c r="S24">
        <f ca="1">IF($C24-S$1&lt;År1,0,R23*(1-VLOOKUP($A24,[1]Hugst!$R$5:$W$9,MATCH(ROUNDUP((S$1)/10,0)*10,[1]Hugst!$R$4:$W$4,0))))</f>
        <v>359.73596259699673</v>
      </c>
      <c r="T24">
        <f ca="1">IF($C24-T$1&lt;År1,0,S23*(1-VLOOKUP($A24,[1]Hugst!$R$5:$W$9,MATCH(ROUNDUP((T$1)/10,0)*10,[1]Hugst!$R$4:$W$4,0))))</f>
        <v>360.2584169212887</v>
      </c>
      <c r="U24">
        <f ca="1">IF($C24-U$1&lt;År1,0,T23*(1-VLOOKUP($A24,[1]Hugst!$R$5:$W$9,MATCH(ROUNDUP((U$1)/10,0)*10,[1]Hugst!$R$4:$W$4,0))))</f>
        <v>360.7834966441892</v>
      </c>
      <c r="V24">
        <f ca="1">IF($C24-V$1&lt;År1,0,U23*(1-VLOOKUP($A24,[1]Hugst!$R$5:$W$9,MATCH(ROUNDUP((V$1)/10,0)*10,[1]Hugst!$R$4:$W$4,0))))</f>
        <v>361.31121495866228</v>
      </c>
      <c r="W24">
        <f ca="1">IF($C24-W$1&lt;År1,0,V23*(1-VLOOKUP($A24,[1]Hugst!$R$5:$W$9,MATCH(ROUNDUP((W$1)/10,0)*10,[1]Hugst!$R$4:$W$4,0))))</f>
        <v>361.84158512396232</v>
      </c>
      <c r="X24">
        <f ca="1">IF($C24-X$1&lt;År1,0,W23*(1-VLOOKUP($A24,[1]Hugst!$R$5:$W$9,MATCH(ROUNDUP((X$1)/10,0)*10,[1]Hugst!$R$4:$W$4,0))))</f>
        <v>362.37462046597341</v>
      </c>
      <c r="Y24">
        <f ca="1">IF($C24-Y$1&lt;År1,0,X23*(1-VLOOKUP($A24,[1]Hugst!$R$5:$W$9,MATCH(ROUNDUP((Y$1)/10,0)*10,[1]Hugst!$R$4:$W$4,0))))</f>
        <v>362.9103343775422</v>
      </c>
      <c r="Z24">
        <f ca="1">IF($C24-Z$1&lt;År1,0,Y23*(1-VLOOKUP($A24,[1]Hugst!$R$5:$W$9,MATCH(ROUNDUP((Z$1)/10,0)*10,[1]Hugst!$R$4:$W$4,0))))</f>
        <v>363.44874031881761</v>
      </c>
      <c r="AA24">
        <f ca="1">IF($C24-AA$1&lt;År1,0,Z23*(1-VLOOKUP($A24,[1]Hugst!$R$5:$W$9,MATCH(ROUNDUP((AA$1)/10,0)*10,[1]Hugst!$R$4:$W$4,0))))</f>
        <v>363.98985181758314</v>
      </c>
      <c r="AB24">
        <f ca="1">IF($C24-AB$1&lt;År1,0,AA23*(1-VLOOKUP($A24,[1]Hugst!$R$5:$W$9,MATCH(ROUNDUP((AB$1)/10,0)*10,[1]Hugst!$R$4:$W$4,0))))</f>
        <v>364.53368246961463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498.84292272422448</v>
      </c>
      <c r="G25">
        <f ca="1">IF($C25-G$1&lt;År1,0,F24*(1-VLOOKUP($A25,[1]Hugst!$R$5:$W$9,MATCH(ROUNDUP((G$1)/10,0)*10,[1]Hugst!$R$4:$W$4,0))))</f>
        <v>499.32997038134494</v>
      </c>
      <c r="H25">
        <f ca="1">IF($C25-H$1&lt;År1,0,G24*(1-VLOOKUP($A25,[1]Hugst!$R$5:$W$9,MATCH(ROUNDUP((H$1)/10,0)*10,[1]Hugst!$R$4:$W$4,0))))</f>
        <v>499.8194655141296</v>
      </c>
      <c r="I25">
        <f ca="1">IF($C25-I$1&lt;År1,0,H24*(1-VLOOKUP($A25,[1]Hugst!$R$5:$W$9,MATCH(ROUNDUP((I$1)/10,0)*10,[1]Hugst!$R$4:$W$4,0))))</f>
        <v>500.31142042144751</v>
      </c>
      <c r="J25">
        <f ca="1">IF($C25-J$1&lt;År1,0,I24*(1-VLOOKUP($A25,[1]Hugst!$R$5:$W$9,MATCH(ROUNDUP((J$1)/10,0)*10,[1]Hugst!$R$4:$W$4,0))))</f>
        <v>500.80584746397761</v>
      </c>
      <c r="K25">
        <f ca="1">IF($C25-K$1&lt;År1,0,J24*(1-VLOOKUP($A25,[1]Hugst!$R$5:$W$9,MATCH(ROUNDUP((K$1)/10,0)*10,[1]Hugst!$R$4:$W$4,0))))</f>
        <v>501.30275906451851</v>
      </c>
      <c r="L25">
        <f ca="1">IF($C25-L$1&lt;År1,0,K24*(1-VLOOKUP($A25,[1]Hugst!$R$5:$W$9,MATCH(ROUNDUP((L$1)/10,0)*10,[1]Hugst!$R$4:$W$4,0))))</f>
        <v>501.80216770826922</v>
      </c>
      <c r="M25">
        <f ca="1">IF($C25-M$1&lt;År1,0,L24*(1-VLOOKUP($A25,[1]Hugst!$R$5:$W$9,MATCH(ROUNDUP((M$1)/10,0)*10,[1]Hugst!$R$4:$W$4,0))))</f>
        <v>502.30408594319869</v>
      </c>
      <c r="N25">
        <f ca="1">IF($C25-N$1&lt;År1,0,M24*(1-VLOOKUP($A25,[1]Hugst!$R$5:$W$9,MATCH(ROUNDUP((N$1)/10,0)*10,[1]Hugst!$R$4:$W$4,0))))</f>
        <v>502.80852638031337</v>
      </c>
      <c r="O25">
        <f ca="1">IF($C25-O$1&lt;År1,0,N24*(1-VLOOKUP($A25,[1]Hugst!$R$5:$W$9,MATCH(ROUNDUP((O$1)/10,0)*10,[1]Hugst!$R$4:$W$4,0))))</f>
        <v>503.31550169399378</v>
      </c>
      <c r="P25">
        <f ca="1">IF($C25-P$1&lt;År1,0,O24*(1-VLOOKUP($A25,[1]Hugst!$R$5:$W$9,MATCH(ROUNDUP((P$1)/10,0)*10,[1]Hugst!$R$4:$W$4,0))))</f>
        <v>503.82502462231758</v>
      </c>
      <c r="Q25">
        <f ca="1">IF($C25-Q$1&lt;År1,0,P24*(1-VLOOKUP($A25,[1]Hugst!$R$5:$W$9,MATCH(ROUNDUP((Q$1)/10,0)*10,[1]Hugst!$R$4:$W$4,0))))</f>
        <v>504.33710796736972</v>
      </c>
      <c r="R25">
        <f ca="1">IF($C25-R$1&lt;År1,0,Q24*(1-VLOOKUP($A25,[1]Hugst!$R$5:$W$9,MATCH(ROUNDUP((R$1)/10,0)*10,[1]Hugst!$R$4:$W$4,0))))</f>
        <v>504.85176459555504</v>
      </c>
      <c r="S25">
        <f ca="1">IF($C25-S$1&lt;År1,0,R24*(1-VLOOKUP($A25,[1]Hugst!$R$5:$W$9,MATCH(ROUNDUP((S$1)/10,0)*10,[1]Hugst!$R$4:$W$4,0))))</f>
        <v>359.21612054433638</v>
      </c>
      <c r="T25">
        <f ca="1">IF($C25-T$1&lt;År1,0,S24*(1-VLOOKUP($A25,[1]Hugst!$R$5:$W$9,MATCH(ROUNDUP((T$1)/10,0)*10,[1]Hugst!$R$4:$W$4,0))))</f>
        <v>359.73596259699673</v>
      </c>
      <c r="U25">
        <f ca="1">IF($C25-U$1&lt;År1,0,T24*(1-VLOOKUP($A25,[1]Hugst!$R$5:$W$9,MATCH(ROUNDUP((U$1)/10,0)*10,[1]Hugst!$R$4:$W$4,0))))</f>
        <v>360.2584169212887</v>
      </c>
      <c r="V25">
        <f ca="1">IF($C25-V$1&lt;År1,0,U24*(1-VLOOKUP($A25,[1]Hugst!$R$5:$W$9,MATCH(ROUNDUP((V$1)/10,0)*10,[1]Hugst!$R$4:$W$4,0))))</f>
        <v>360.7834966441892</v>
      </c>
      <c r="W25">
        <f ca="1">IF($C25-W$1&lt;År1,0,V24*(1-VLOOKUP($A25,[1]Hugst!$R$5:$W$9,MATCH(ROUNDUP((W$1)/10,0)*10,[1]Hugst!$R$4:$W$4,0))))</f>
        <v>361.31121495866228</v>
      </c>
      <c r="X25">
        <f ca="1">IF($C25-X$1&lt;År1,0,W24*(1-VLOOKUP($A25,[1]Hugst!$R$5:$W$9,MATCH(ROUNDUP((X$1)/10,0)*10,[1]Hugst!$R$4:$W$4,0))))</f>
        <v>361.84158512396232</v>
      </c>
      <c r="Y25">
        <f ca="1">IF($C25-Y$1&lt;År1,0,X24*(1-VLOOKUP($A25,[1]Hugst!$R$5:$W$9,MATCH(ROUNDUP((Y$1)/10,0)*10,[1]Hugst!$R$4:$W$4,0))))</f>
        <v>362.37462046597341</v>
      </c>
      <c r="Z25">
        <f ca="1">IF($C25-Z$1&lt;År1,0,Y24*(1-VLOOKUP($A25,[1]Hugst!$R$5:$W$9,MATCH(ROUNDUP((Z$1)/10,0)*10,[1]Hugst!$R$4:$W$4,0))))</f>
        <v>362.9103343775422</v>
      </c>
      <c r="AA25">
        <f ca="1">IF($C25-AA$1&lt;År1,0,Z24*(1-VLOOKUP($A25,[1]Hugst!$R$5:$W$9,MATCH(ROUNDUP((AA$1)/10,0)*10,[1]Hugst!$R$4:$W$4,0))))</f>
        <v>363.44874031881761</v>
      </c>
      <c r="AB25">
        <f ca="1">IF($C25-AB$1&lt;År1,0,AA24*(1-VLOOKUP($A25,[1]Hugst!$R$5:$W$9,MATCH(ROUNDUP((AB$1)/10,0)*10,[1]Hugst!$R$4:$W$4,0))))</f>
        <v>363.98985181758314</v>
      </c>
      <c r="AC25">
        <f ca="1">IF($C25-AC$1&lt;År1,0,AB24*(1-VLOOKUP($A25,[1]Hugst!$R$5:$W$9,MATCH(ROUNDUP((AC$1)/10,0)*10,[1]Hugst!$R$4:$W$4,0))))</f>
        <v>364.53368246961463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498.35831030539106</v>
      </c>
      <c r="G26">
        <f ca="1">IF($C26-G$1&lt;År1,0,F25*(1-VLOOKUP($A26,[1]Hugst!$R$5:$W$9,MATCH(ROUNDUP((G$1)/10,0)*10,[1]Hugst!$R$4:$W$4,0))))</f>
        <v>498.84292272422448</v>
      </c>
      <c r="H26">
        <f ca="1">IF($C26-H$1&lt;År1,0,G25*(1-VLOOKUP($A26,[1]Hugst!$R$5:$W$9,MATCH(ROUNDUP((H$1)/10,0)*10,[1]Hugst!$R$4:$W$4,0))))</f>
        <v>499.32997038134494</v>
      </c>
      <c r="I26">
        <f ca="1">IF($C26-I$1&lt;År1,0,H25*(1-VLOOKUP($A26,[1]Hugst!$R$5:$W$9,MATCH(ROUNDUP((I$1)/10,0)*10,[1]Hugst!$R$4:$W$4,0))))</f>
        <v>499.8194655141296</v>
      </c>
      <c r="J26">
        <f ca="1">IF($C26-J$1&lt;År1,0,I25*(1-VLOOKUP($A26,[1]Hugst!$R$5:$W$9,MATCH(ROUNDUP((J$1)/10,0)*10,[1]Hugst!$R$4:$W$4,0))))</f>
        <v>500.31142042144751</v>
      </c>
      <c r="K26">
        <f ca="1">IF($C26-K$1&lt;År1,0,J25*(1-VLOOKUP($A26,[1]Hugst!$R$5:$W$9,MATCH(ROUNDUP((K$1)/10,0)*10,[1]Hugst!$R$4:$W$4,0))))</f>
        <v>500.80584746397761</v>
      </c>
      <c r="L26">
        <f ca="1">IF($C26-L$1&lt;År1,0,K25*(1-VLOOKUP($A26,[1]Hugst!$R$5:$W$9,MATCH(ROUNDUP((L$1)/10,0)*10,[1]Hugst!$R$4:$W$4,0))))</f>
        <v>501.30275906451851</v>
      </c>
      <c r="M26">
        <f ca="1">IF($C26-M$1&lt;År1,0,L25*(1-VLOOKUP($A26,[1]Hugst!$R$5:$W$9,MATCH(ROUNDUP((M$1)/10,0)*10,[1]Hugst!$R$4:$W$4,0))))</f>
        <v>501.80216770826922</v>
      </c>
      <c r="N26">
        <f ca="1">IF($C26-N$1&lt;År1,0,M25*(1-VLOOKUP($A26,[1]Hugst!$R$5:$W$9,MATCH(ROUNDUP((N$1)/10,0)*10,[1]Hugst!$R$4:$W$4,0))))</f>
        <v>502.30408594319869</v>
      </c>
      <c r="O26">
        <f ca="1">IF($C26-O$1&lt;År1,0,N25*(1-VLOOKUP($A26,[1]Hugst!$R$5:$W$9,MATCH(ROUNDUP((O$1)/10,0)*10,[1]Hugst!$R$4:$W$4,0))))</f>
        <v>502.80852638031337</v>
      </c>
      <c r="P26">
        <f ca="1">IF($C26-P$1&lt;År1,0,O25*(1-VLOOKUP($A26,[1]Hugst!$R$5:$W$9,MATCH(ROUNDUP((P$1)/10,0)*10,[1]Hugst!$R$4:$W$4,0))))</f>
        <v>503.31550169399378</v>
      </c>
      <c r="Q26">
        <f ca="1">IF($C26-Q$1&lt;År1,0,P25*(1-VLOOKUP($A26,[1]Hugst!$R$5:$W$9,MATCH(ROUNDUP((Q$1)/10,0)*10,[1]Hugst!$R$4:$W$4,0))))</f>
        <v>503.82502462231758</v>
      </c>
      <c r="R26">
        <f ca="1">IF($C26-R$1&lt;År1,0,Q25*(1-VLOOKUP($A26,[1]Hugst!$R$5:$W$9,MATCH(ROUNDUP((R$1)/10,0)*10,[1]Hugst!$R$4:$W$4,0))))</f>
        <v>504.33710796736972</v>
      </c>
      <c r="S26">
        <f ca="1">IF($C26-S$1&lt;År1,0,R25*(1-VLOOKUP($A26,[1]Hugst!$R$5:$W$9,MATCH(ROUNDUP((S$1)/10,0)*10,[1]Hugst!$R$4:$W$4,0))))</f>
        <v>504.85176459555504</v>
      </c>
      <c r="T26">
        <f ca="1">IF($C26-T$1&lt;År1,0,S25*(1-VLOOKUP($A26,[1]Hugst!$R$5:$W$9,MATCH(ROUNDUP((T$1)/10,0)*10,[1]Hugst!$R$4:$W$4,0))))</f>
        <v>359.21612054433638</v>
      </c>
      <c r="U26">
        <f ca="1">IF($C26-U$1&lt;År1,0,T25*(1-VLOOKUP($A26,[1]Hugst!$R$5:$W$9,MATCH(ROUNDUP((U$1)/10,0)*10,[1]Hugst!$R$4:$W$4,0))))</f>
        <v>359.73596259699673</v>
      </c>
      <c r="V26">
        <f ca="1">IF($C26-V$1&lt;År1,0,U25*(1-VLOOKUP($A26,[1]Hugst!$R$5:$W$9,MATCH(ROUNDUP((V$1)/10,0)*10,[1]Hugst!$R$4:$W$4,0))))</f>
        <v>360.2584169212887</v>
      </c>
      <c r="W26">
        <f ca="1">IF($C26-W$1&lt;År1,0,V25*(1-VLOOKUP($A26,[1]Hugst!$R$5:$W$9,MATCH(ROUNDUP((W$1)/10,0)*10,[1]Hugst!$R$4:$W$4,0))))</f>
        <v>360.7834966441892</v>
      </c>
      <c r="X26">
        <f ca="1">IF($C26-X$1&lt;År1,0,W25*(1-VLOOKUP($A26,[1]Hugst!$R$5:$W$9,MATCH(ROUNDUP((X$1)/10,0)*10,[1]Hugst!$R$4:$W$4,0))))</f>
        <v>361.31121495866228</v>
      </c>
      <c r="Y26">
        <f ca="1">IF($C26-Y$1&lt;År1,0,X25*(1-VLOOKUP($A26,[1]Hugst!$R$5:$W$9,MATCH(ROUNDUP((Y$1)/10,0)*10,[1]Hugst!$R$4:$W$4,0))))</f>
        <v>361.84158512396232</v>
      </c>
      <c r="Z26">
        <f ca="1">IF($C26-Z$1&lt;År1,0,Y25*(1-VLOOKUP($A26,[1]Hugst!$R$5:$W$9,MATCH(ROUNDUP((Z$1)/10,0)*10,[1]Hugst!$R$4:$W$4,0))))</f>
        <v>362.37462046597341</v>
      </c>
      <c r="AA26">
        <f ca="1">IF($C26-AA$1&lt;År1,0,Z25*(1-VLOOKUP($A26,[1]Hugst!$R$5:$W$9,MATCH(ROUNDUP((AA$1)/10,0)*10,[1]Hugst!$R$4:$W$4,0))))</f>
        <v>362.9103343775422</v>
      </c>
      <c r="AB26">
        <f ca="1">IF($C26-AB$1&lt;År1,0,AA25*(1-VLOOKUP($A26,[1]Hugst!$R$5:$W$9,MATCH(ROUNDUP((AB$1)/10,0)*10,[1]Hugst!$R$4:$W$4,0))))</f>
        <v>363.44874031881761</v>
      </c>
      <c r="AC26">
        <f ca="1">IF($C26-AC$1&lt;År1,0,AB25*(1-VLOOKUP($A26,[1]Hugst!$R$5:$W$9,MATCH(ROUNDUP((AC$1)/10,0)*10,[1]Hugst!$R$4:$W$4,0))))</f>
        <v>363.98985181758314</v>
      </c>
      <c r="AD26">
        <f ca="1">IF($C26-AD$1&lt;År1,0,AC25*(1-VLOOKUP($A26,[1]Hugst!$R$5:$W$9,MATCH(ROUNDUP((AD$1)/10,0)*10,[1]Hugst!$R$4:$W$4,0))))</f>
        <v>364.53368246961463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497.87612094865148</v>
      </c>
      <c r="G27">
        <f ca="1">IF($C27-G$1&lt;År1,0,F26*(1-VLOOKUP($A27,[1]Hugst!$R$5:$W$9,MATCH(ROUNDUP((G$1)/10,0)*10,[1]Hugst!$R$4:$W$4,0))))</f>
        <v>498.35831030539106</v>
      </c>
      <c r="H27">
        <f ca="1">IF($C27-H$1&lt;År1,0,G26*(1-VLOOKUP($A27,[1]Hugst!$R$5:$W$9,MATCH(ROUNDUP((H$1)/10,0)*10,[1]Hugst!$R$4:$W$4,0))))</f>
        <v>498.84292272422448</v>
      </c>
      <c r="I27">
        <f ca="1">IF($C27-I$1&lt;År1,0,H26*(1-VLOOKUP($A27,[1]Hugst!$R$5:$W$9,MATCH(ROUNDUP((I$1)/10,0)*10,[1]Hugst!$R$4:$W$4,0))))</f>
        <v>499.32997038134494</v>
      </c>
      <c r="J27">
        <f ca="1">IF($C27-J$1&lt;År1,0,I26*(1-VLOOKUP($A27,[1]Hugst!$R$5:$W$9,MATCH(ROUNDUP((J$1)/10,0)*10,[1]Hugst!$R$4:$W$4,0))))</f>
        <v>499.8194655141296</v>
      </c>
      <c r="K27">
        <f ca="1">IF($C27-K$1&lt;År1,0,J26*(1-VLOOKUP($A27,[1]Hugst!$R$5:$W$9,MATCH(ROUNDUP((K$1)/10,0)*10,[1]Hugst!$R$4:$W$4,0))))</f>
        <v>500.31142042144751</v>
      </c>
      <c r="L27">
        <f ca="1">IF($C27-L$1&lt;År1,0,K26*(1-VLOOKUP($A27,[1]Hugst!$R$5:$W$9,MATCH(ROUNDUP((L$1)/10,0)*10,[1]Hugst!$R$4:$W$4,0))))</f>
        <v>500.80584746397761</v>
      </c>
      <c r="M27">
        <f ca="1">IF($C27-M$1&lt;År1,0,L26*(1-VLOOKUP($A27,[1]Hugst!$R$5:$W$9,MATCH(ROUNDUP((M$1)/10,0)*10,[1]Hugst!$R$4:$W$4,0))))</f>
        <v>501.30275906451851</v>
      </c>
      <c r="N27">
        <f ca="1">IF($C27-N$1&lt;År1,0,M26*(1-VLOOKUP($A27,[1]Hugst!$R$5:$W$9,MATCH(ROUNDUP((N$1)/10,0)*10,[1]Hugst!$R$4:$W$4,0))))</f>
        <v>501.80216770826922</v>
      </c>
      <c r="O27">
        <f ca="1">IF($C27-O$1&lt;År1,0,N26*(1-VLOOKUP($A27,[1]Hugst!$R$5:$W$9,MATCH(ROUNDUP((O$1)/10,0)*10,[1]Hugst!$R$4:$W$4,0))))</f>
        <v>502.30408594319869</v>
      </c>
      <c r="P27">
        <f ca="1">IF($C27-P$1&lt;År1,0,O26*(1-VLOOKUP($A27,[1]Hugst!$R$5:$W$9,MATCH(ROUNDUP((P$1)/10,0)*10,[1]Hugst!$R$4:$W$4,0))))</f>
        <v>502.80852638031337</v>
      </c>
      <c r="Q27">
        <f ca="1">IF($C27-Q$1&lt;År1,0,P26*(1-VLOOKUP($A27,[1]Hugst!$R$5:$W$9,MATCH(ROUNDUP((Q$1)/10,0)*10,[1]Hugst!$R$4:$W$4,0))))</f>
        <v>503.31550169399378</v>
      </c>
      <c r="R27">
        <f ca="1">IF($C27-R$1&lt;År1,0,Q26*(1-VLOOKUP($A27,[1]Hugst!$R$5:$W$9,MATCH(ROUNDUP((R$1)/10,0)*10,[1]Hugst!$R$4:$W$4,0))))</f>
        <v>503.82502462231758</v>
      </c>
      <c r="S27">
        <f ca="1">IF($C27-S$1&lt;År1,0,R26*(1-VLOOKUP($A27,[1]Hugst!$R$5:$W$9,MATCH(ROUNDUP((S$1)/10,0)*10,[1]Hugst!$R$4:$W$4,0))))</f>
        <v>504.33710796736972</v>
      </c>
      <c r="T27">
        <f ca="1">IF($C27-T$1&lt;År1,0,S26*(1-VLOOKUP($A27,[1]Hugst!$R$5:$W$9,MATCH(ROUNDUP((T$1)/10,0)*10,[1]Hugst!$R$4:$W$4,0))))</f>
        <v>504.85176459555504</v>
      </c>
      <c r="U27">
        <f ca="1">IF($C27-U$1&lt;År1,0,T26*(1-VLOOKUP($A27,[1]Hugst!$R$5:$W$9,MATCH(ROUNDUP((U$1)/10,0)*10,[1]Hugst!$R$4:$W$4,0))))</f>
        <v>359.21612054433638</v>
      </c>
      <c r="V27">
        <f ca="1">IF($C27-V$1&lt;År1,0,U26*(1-VLOOKUP($A27,[1]Hugst!$R$5:$W$9,MATCH(ROUNDUP((V$1)/10,0)*10,[1]Hugst!$R$4:$W$4,0))))</f>
        <v>359.73596259699673</v>
      </c>
      <c r="W27">
        <f ca="1">IF($C27-W$1&lt;År1,0,V26*(1-VLOOKUP($A27,[1]Hugst!$R$5:$W$9,MATCH(ROUNDUP((W$1)/10,0)*10,[1]Hugst!$R$4:$W$4,0))))</f>
        <v>360.2584169212887</v>
      </c>
      <c r="X27">
        <f ca="1">IF($C27-X$1&lt;År1,0,W26*(1-VLOOKUP($A27,[1]Hugst!$R$5:$W$9,MATCH(ROUNDUP((X$1)/10,0)*10,[1]Hugst!$R$4:$W$4,0))))</f>
        <v>360.7834966441892</v>
      </c>
      <c r="Y27">
        <f ca="1">IF($C27-Y$1&lt;År1,0,X26*(1-VLOOKUP($A27,[1]Hugst!$R$5:$W$9,MATCH(ROUNDUP((Y$1)/10,0)*10,[1]Hugst!$R$4:$W$4,0))))</f>
        <v>361.31121495866228</v>
      </c>
      <c r="Z27">
        <f ca="1">IF($C27-Z$1&lt;År1,0,Y26*(1-VLOOKUP($A27,[1]Hugst!$R$5:$W$9,MATCH(ROUNDUP((Z$1)/10,0)*10,[1]Hugst!$R$4:$W$4,0))))</f>
        <v>361.84158512396232</v>
      </c>
      <c r="AA27">
        <f ca="1">IF($C27-AA$1&lt;År1,0,Z26*(1-VLOOKUP($A27,[1]Hugst!$R$5:$W$9,MATCH(ROUNDUP((AA$1)/10,0)*10,[1]Hugst!$R$4:$W$4,0))))</f>
        <v>362.37462046597341</v>
      </c>
      <c r="AB27">
        <f ca="1">IF($C27-AB$1&lt;År1,0,AA26*(1-VLOOKUP($A27,[1]Hugst!$R$5:$W$9,MATCH(ROUNDUP((AB$1)/10,0)*10,[1]Hugst!$R$4:$W$4,0))))</f>
        <v>362.9103343775422</v>
      </c>
      <c r="AC27">
        <f ca="1">IF($C27-AC$1&lt;År1,0,AB26*(1-VLOOKUP($A27,[1]Hugst!$R$5:$W$9,MATCH(ROUNDUP((AC$1)/10,0)*10,[1]Hugst!$R$4:$W$4,0))))</f>
        <v>363.44874031881761</v>
      </c>
      <c r="AD27">
        <f ca="1">IF($C27-AD$1&lt;År1,0,AC26*(1-VLOOKUP($A27,[1]Hugst!$R$5:$W$9,MATCH(ROUNDUP((AD$1)/10,0)*10,[1]Hugst!$R$4:$W$4,0))))</f>
        <v>363.98985181758314</v>
      </c>
      <c r="AE27">
        <f ca="1">IF($C27-AE$1&lt;År1,0,AD26*(1-VLOOKUP($A27,[1]Hugst!$R$5:$W$9,MATCH(ROUNDUP((AE$1)/10,0)*10,[1]Hugst!$R$4:$W$4,0))))</f>
        <v>364.53368246961463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497.39634253869866</v>
      </c>
      <c r="G28">
        <f ca="1">IF($C28-G$1&lt;År1,0,F27*(1-VLOOKUP($A28,[1]Hugst!$R$5:$W$9,MATCH(ROUNDUP((G$1)/10,0)*10,[1]Hugst!$R$4:$W$4,0))))</f>
        <v>497.87612094865148</v>
      </c>
      <c r="H28">
        <f ca="1">IF($C28-H$1&lt;År1,0,G27*(1-VLOOKUP($A28,[1]Hugst!$R$5:$W$9,MATCH(ROUNDUP((H$1)/10,0)*10,[1]Hugst!$R$4:$W$4,0))))</f>
        <v>498.35831030539106</v>
      </c>
      <c r="I28">
        <f ca="1">IF($C28-I$1&lt;År1,0,H27*(1-VLOOKUP($A28,[1]Hugst!$R$5:$W$9,MATCH(ROUNDUP((I$1)/10,0)*10,[1]Hugst!$R$4:$W$4,0))))</f>
        <v>498.84292272422448</v>
      </c>
      <c r="J28">
        <f ca="1">IF($C28-J$1&lt;År1,0,I27*(1-VLOOKUP($A28,[1]Hugst!$R$5:$W$9,MATCH(ROUNDUP((J$1)/10,0)*10,[1]Hugst!$R$4:$W$4,0))))</f>
        <v>499.32997038134494</v>
      </c>
      <c r="K28">
        <f ca="1">IF($C28-K$1&lt;År1,0,J27*(1-VLOOKUP($A28,[1]Hugst!$R$5:$W$9,MATCH(ROUNDUP((K$1)/10,0)*10,[1]Hugst!$R$4:$W$4,0))))</f>
        <v>499.8194655141296</v>
      </c>
      <c r="L28">
        <f ca="1">IF($C28-L$1&lt;År1,0,K27*(1-VLOOKUP($A28,[1]Hugst!$R$5:$W$9,MATCH(ROUNDUP((L$1)/10,0)*10,[1]Hugst!$R$4:$W$4,0))))</f>
        <v>500.31142042144751</v>
      </c>
      <c r="M28">
        <f ca="1">IF($C28-M$1&lt;År1,0,L27*(1-VLOOKUP($A28,[1]Hugst!$R$5:$W$9,MATCH(ROUNDUP((M$1)/10,0)*10,[1]Hugst!$R$4:$W$4,0))))</f>
        <v>500.80584746397761</v>
      </c>
      <c r="N28">
        <f ca="1">IF($C28-N$1&lt;År1,0,M27*(1-VLOOKUP($A28,[1]Hugst!$R$5:$W$9,MATCH(ROUNDUP((N$1)/10,0)*10,[1]Hugst!$R$4:$W$4,0))))</f>
        <v>501.30275906451851</v>
      </c>
      <c r="O28">
        <f ca="1">IF($C28-O$1&lt;År1,0,N27*(1-VLOOKUP($A28,[1]Hugst!$R$5:$W$9,MATCH(ROUNDUP((O$1)/10,0)*10,[1]Hugst!$R$4:$W$4,0))))</f>
        <v>501.80216770826922</v>
      </c>
      <c r="P28">
        <f ca="1">IF($C28-P$1&lt;År1,0,O27*(1-VLOOKUP($A28,[1]Hugst!$R$5:$W$9,MATCH(ROUNDUP((P$1)/10,0)*10,[1]Hugst!$R$4:$W$4,0))))</f>
        <v>502.30408594319869</v>
      </c>
      <c r="Q28">
        <f ca="1">IF($C28-Q$1&lt;År1,0,P27*(1-VLOOKUP($A28,[1]Hugst!$R$5:$W$9,MATCH(ROUNDUP((Q$1)/10,0)*10,[1]Hugst!$R$4:$W$4,0))))</f>
        <v>502.80852638031337</v>
      </c>
      <c r="R28">
        <f ca="1">IF($C28-R$1&lt;År1,0,Q27*(1-VLOOKUP($A28,[1]Hugst!$R$5:$W$9,MATCH(ROUNDUP((R$1)/10,0)*10,[1]Hugst!$R$4:$W$4,0))))</f>
        <v>503.31550169399378</v>
      </c>
      <c r="S28">
        <f ca="1">IF($C28-S$1&lt;År1,0,R27*(1-VLOOKUP($A28,[1]Hugst!$R$5:$W$9,MATCH(ROUNDUP((S$1)/10,0)*10,[1]Hugst!$R$4:$W$4,0))))</f>
        <v>503.82502462231758</v>
      </c>
      <c r="T28">
        <f ca="1">IF($C28-T$1&lt;År1,0,S27*(1-VLOOKUP($A28,[1]Hugst!$R$5:$W$9,MATCH(ROUNDUP((T$1)/10,0)*10,[1]Hugst!$R$4:$W$4,0))))</f>
        <v>504.33710796736972</v>
      </c>
      <c r="U28">
        <f ca="1">IF($C28-U$1&lt;År1,0,T27*(1-VLOOKUP($A28,[1]Hugst!$R$5:$W$9,MATCH(ROUNDUP((U$1)/10,0)*10,[1]Hugst!$R$4:$W$4,0))))</f>
        <v>504.85176459555504</v>
      </c>
      <c r="V28">
        <f ca="1">IF($C28-V$1&lt;År1,0,U27*(1-VLOOKUP($A28,[1]Hugst!$R$5:$W$9,MATCH(ROUNDUP((V$1)/10,0)*10,[1]Hugst!$R$4:$W$4,0))))</f>
        <v>359.21612054433638</v>
      </c>
      <c r="W28">
        <f ca="1">IF($C28-W$1&lt;År1,0,V27*(1-VLOOKUP($A28,[1]Hugst!$R$5:$W$9,MATCH(ROUNDUP((W$1)/10,0)*10,[1]Hugst!$R$4:$W$4,0))))</f>
        <v>359.73596259699673</v>
      </c>
      <c r="X28">
        <f ca="1">IF($C28-X$1&lt;År1,0,W27*(1-VLOOKUP($A28,[1]Hugst!$R$5:$W$9,MATCH(ROUNDUP((X$1)/10,0)*10,[1]Hugst!$R$4:$W$4,0))))</f>
        <v>360.2584169212887</v>
      </c>
      <c r="Y28">
        <f ca="1">IF($C28-Y$1&lt;År1,0,X27*(1-VLOOKUP($A28,[1]Hugst!$R$5:$W$9,MATCH(ROUNDUP((Y$1)/10,0)*10,[1]Hugst!$R$4:$W$4,0))))</f>
        <v>360.7834966441892</v>
      </c>
      <c r="Z28">
        <f ca="1">IF($C28-Z$1&lt;År1,0,Y27*(1-VLOOKUP($A28,[1]Hugst!$R$5:$W$9,MATCH(ROUNDUP((Z$1)/10,0)*10,[1]Hugst!$R$4:$W$4,0))))</f>
        <v>361.31121495866228</v>
      </c>
      <c r="AA28">
        <f ca="1">IF($C28-AA$1&lt;År1,0,Z27*(1-VLOOKUP($A28,[1]Hugst!$R$5:$W$9,MATCH(ROUNDUP((AA$1)/10,0)*10,[1]Hugst!$R$4:$W$4,0))))</f>
        <v>361.84158512396232</v>
      </c>
      <c r="AB28">
        <f ca="1">IF($C28-AB$1&lt;År1,0,AA27*(1-VLOOKUP($A28,[1]Hugst!$R$5:$W$9,MATCH(ROUNDUP((AB$1)/10,0)*10,[1]Hugst!$R$4:$W$4,0))))</f>
        <v>362.37462046597341</v>
      </c>
      <c r="AC28">
        <f ca="1">IF($C28-AC$1&lt;År1,0,AB27*(1-VLOOKUP($A28,[1]Hugst!$R$5:$W$9,MATCH(ROUNDUP((AC$1)/10,0)*10,[1]Hugst!$R$4:$W$4,0))))</f>
        <v>362.9103343775422</v>
      </c>
      <c r="AD28">
        <f ca="1">IF($C28-AD$1&lt;År1,0,AC27*(1-VLOOKUP($A28,[1]Hugst!$R$5:$W$9,MATCH(ROUNDUP((AD$1)/10,0)*10,[1]Hugst!$R$4:$W$4,0))))</f>
        <v>363.44874031881761</v>
      </c>
      <c r="AE28">
        <f ca="1">IF($C28-AE$1&lt;År1,0,AD27*(1-VLOOKUP($A28,[1]Hugst!$R$5:$W$9,MATCH(ROUNDUP((AE$1)/10,0)*10,[1]Hugst!$R$4:$W$4,0))))</f>
        <v>363.98985181758314</v>
      </c>
      <c r="AF28">
        <f ca="1">IF($C28-AF$1&lt;År1,0,AE27*(1-VLOOKUP($A28,[1]Hugst!$R$5:$W$9,MATCH(ROUNDUP((AF$1)/10,0)*10,[1]Hugst!$R$4:$W$4,0))))</f>
        <v>364.53368246961463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496.91896302078652</v>
      </c>
      <c r="G29">
        <f ca="1">IF($C29-G$1&lt;År1,0,F28*(1-VLOOKUP($A29,[1]Hugst!$R$5:$W$9,MATCH(ROUNDUP((G$1)/10,0)*10,[1]Hugst!$R$4:$W$4,0))))</f>
        <v>497.39634253869866</v>
      </c>
      <c r="H29">
        <f ca="1">IF($C29-H$1&lt;År1,0,G28*(1-VLOOKUP($A29,[1]Hugst!$R$5:$W$9,MATCH(ROUNDUP((H$1)/10,0)*10,[1]Hugst!$R$4:$W$4,0))))</f>
        <v>497.87612094865148</v>
      </c>
      <c r="I29">
        <f ca="1">IF($C29-I$1&lt;År1,0,H28*(1-VLOOKUP($A29,[1]Hugst!$R$5:$W$9,MATCH(ROUNDUP((I$1)/10,0)*10,[1]Hugst!$R$4:$W$4,0))))</f>
        <v>498.35831030539106</v>
      </c>
      <c r="J29">
        <f ca="1">IF($C29-J$1&lt;År1,0,I28*(1-VLOOKUP($A29,[1]Hugst!$R$5:$W$9,MATCH(ROUNDUP((J$1)/10,0)*10,[1]Hugst!$R$4:$W$4,0))))</f>
        <v>498.84292272422448</v>
      </c>
      <c r="K29">
        <f ca="1">IF($C29-K$1&lt;År1,0,J28*(1-VLOOKUP($A29,[1]Hugst!$R$5:$W$9,MATCH(ROUNDUP((K$1)/10,0)*10,[1]Hugst!$R$4:$W$4,0))))</f>
        <v>499.32997038134494</v>
      </c>
      <c r="L29">
        <f ca="1">IF($C29-L$1&lt;År1,0,K28*(1-VLOOKUP($A29,[1]Hugst!$R$5:$W$9,MATCH(ROUNDUP((L$1)/10,0)*10,[1]Hugst!$R$4:$W$4,0))))</f>
        <v>499.8194655141296</v>
      </c>
      <c r="M29">
        <f ca="1">IF($C29-M$1&lt;År1,0,L28*(1-VLOOKUP($A29,[1]Hugst!$R$5:$W$9,MATCH(ROUNDUP((M$1)/10,0)*10,[1]Hugst!$R$4:$W$4,0))))</f>
        <v>500.31142042144751</v>
      </c>
      <c r="N29">
        <f ca="1">IF($C29-N$1&lt;År1,0,M28*(1-VLOOKUP($A29,[1]Hugst!$R$5:$W$9,MATCH(ROUNDUP((N$1)/10,0)*10,[1]Hugst!$R$4:$W$4,0))))</f>
        <v>500.80584746397761</v>
      </c>
      <c r="O29">
        <f ca="1">IF($C29-O$1&lt;År1,0,N28*(1-VLOOKUP($A29,[1]Hugst!$R$5:$W$9,MATCH(ROUNDUP((O$1)/10,0)*10,[1]Hugst!$R$4:$W$4,0))))</f>
        <v>501.30275906451851</v>
      </c>
      <c r="P29">
        <f ca="1">IF($C29-P$1&lt;År1,0,O28*(1-VLOOKUP($A29,[1]Hugst!$R$5:$W$9,MATCH(ROUNDUP((P$1)/10,0)*10,[1]Hugst!$R$4:$W$4,0))))</f>
        <v>501.80216770826922</v>
      </c>
      <c r="Q29">
        <f ca="1">IF($C29-Q$1&lt;År1,0,P28*(1-VLOOKUP($A29,[1]Hugst!$R$5:$W$9,MATCH(ROUNDUP((Q$1)/10,0)*10,[1]Hugst!$R$4:$W$4,0))))</f>
        <v>502.30408594319869</v>
      </c>
      <c r="R29">
        <f ca="1">IF($C29-R$1&lt;År1,0,Q28*(1-VLOOKUP($A29,[1]Hugst!$R$5:$W$9,MATCH(ROUNDUP((R$1)/10,0)*10,[1]Hugst!$R$4:$W$4,0))))</f>
        <v>502.80852638031337</v>
      </c>
      <c r="S29">
        <f ca="1">IF($C29-S$1&lt;År1,0,R28*(1-VLOOKUP($A29,[1]Hugst!$R$5:$W$9,MATCH(ROUNDUP((S$1)/10,0)*10,[1]Hugst!$R$4:$W$4,0))))</f>
        <v>503.31550169399378</v>
      </c>
      <c r="T29">
        <f ca="1">IF($C29-T$1&lt;År1,0,S28*(1-VLOOKUP($A29,[1]Hugst!$R$5:$W$9,MATCH(ROUNDUP((T$1)/10,0)*10,[1]Hugst!$R$4:$W$4,0))))</f>
        <v>503.82502462231758</v>
      </c>
      <c r="U29">
        <f ca="1">IF($C29-U$1&lt;År1,0,T28*(1-VLOOKUP($A29,[1]Hugst!$R$5:$W$9,MATCH(ROUNDUP((U$1)/10,0)*10,[1]Hugst!$R$4:$W$4,0))))</f>
        <v>504.33710796736972</v>
      </c>
      <c r="V29">
        <f ca="1">IF($C29-V$1&lt;År1,0,U28*(1-VLOOKUP($A29,[1]Hugst!$R$5:$W$9,MATCH(ROUNDUP((V$1)/10,0)*10,[1]Hugst!$R$4:$W$4,0))))</f>
        <v>504.85176459555504</v>
      </c>
      <c r="W29">
        <f ca="1">IF($C29-W$1&lt;År1,0,V28*(1-VLOOKUP($A29,[1]Hugst!$R$5:$W$9,MATCH(ROUNDUP((W$1)/10,0)*10,[1]Hugst!$R$4:$W$4,0))))</f>
        <v>359.21612054433638</v>
      </c>
      <c r="X29">
        <f ca="1">IF($C29-X$1&lt;År1,0,W28*(1-VLOOKUP($A29,[1]Hugst!$R$5:$W$9,MATCH(ROUNDUP((X$1)/10,0)*10,[1]Hugst!$R$4:$W$4,0))))</f>
        <v>359.73596259699673</v>
      </c>
      <c r="Y29">
        <f ca="1">IF($C29-Y$1&lt;År1,0,X28*(1-VLOOKUP($A29,[1]Hugst!$R$5:$W$9,MATCH(ROUNDUP((Y$1)/10,0)*10,[1]Hugst!$R$4:$W$4,0))))</f>
        <v>360.2584169212887</v>
      </c>
      <c r="Z29">
        <f ca="1">IF($C29-Z$1&lt;År1,0,Y28*(1-VLOOKUP($A29,[1]Hugst!$R$5:$W$9,MATCH(ROUNDUP((Z$1)/10,0)*10,[1]Hugst!$R$4:$W$4,0))))</f>
        <v>360.7834966441892</v>
      </c>
      <c r="AA29">
        <f ca="1">IF($C29-AA$1&lt;År1,0,Z28*(1-VLOOKUP($A29,[1]Hugst!$R$5:$W$9,MATCH(ROUNDUP((AA$1)/10,0)*10,[1]Hugst!$R$4:$W$4,0))))</f>
        <v>361.31121495866228</v>
      </c>
      <c r="AB29">
        <f ca="1">IF($C29-AB$1&lt;År1,0,AA28*(1-VLOOKUP($A29,[1]Hugst!$R$5:$W$9,MATCH(ROUNDUP((AB$1)/10,0)*10,[1]Hugst!$R$4:$W$4,0))))</f>
        <v>361.84158512396232</v>
      </c>
      <c r="AC29">
        <f ca="1">IF($C29-AC$1&lt;År1,0,AB28*(1-VLOOKUP($A29,[1]Hugst!$R$5:$W$9,MATCH(ROUNDUP((AC$1)/10,0)*10,[1]Hugst!$R$4:$W$4,0))))</f>
        <v>362.37462046597341</v>
      </c>
      <c r="AD29">
        <f ca="1">IF($C29-AD$1&lt;År1,0,AC28*(1-VLOOKUP($A29,[1]Hugst!$R$5:$W$9,MATCH(ROUNDUP((AD$1)/10,0)*10,[1]Hugst!$R$4:$W$4,0))))</f>
        <v>362.9103343775422</v>
      </c>
      <c r="AE29">
        <f ca="1">IF($C29-AE$1&lt;År1,0,AD28*(1-VLOOKUP($A29,[1]Hugst!$R$5:$W$9,MATCH(ROUNDUP((AE$1)/10,0)*10,[1]Hugst!$R$4:$W$4,0))))</f>
        <v>363.44874031881761</v>
      </c>
      <c r="AF29">
        <f ca="1">IF($C29-AF$1&lt;År1,0,AE28*(1-VLOOKUP($A29,[1]Hugst!$R$5:$W$9,MATCH(ROUNDUP((AF$1)/10,0)*10,[1]Hugst!$R$4:$W$4,0))))</f>
        <v>363.98985181758314</v>
      </c>
      <c r="AG29">
        <f ca="1">IF($C29-AG$1&lt;År1,0,AF28*(1-VLOOKUP($A29,[1]Hugst!$R$5:$W$9,MATCH(ROUNDUP((AG$1)/10,0)*10,[1]Hugst!$R$4:$W$4,0))))</f>
        <v>364.53368246961463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496.44397040047301</v>
      </c>
      <c r="G30">
        <f ca="1">IF($C30-G$1&lt;År1,0,F29*(1-VLOOKUP($A30,[1]Hugst!$R$5:$W$9,MATCH(ROUNDUP((G$1)/10,0)*10,[1]Hugst!$R$4:$W$4,0))))</f>
        <v>496.91896302078652</v>
      </c>
      <c r="H30">
        <f ca="1">IF($C30-H$1&lt;År1,0,G29*(1-VLOOKUP($A30,[1]Hugst!$R$5:$W$9,MATCH(ROUNDUP((H$1)/10,0)*10,[1]Hugst!$R$4:$W$4,0))))</f>
        <v>497.39634253869866</v>
      </c>
      <c r="I30">
        <f ca="1">IF($C30-I$1&lt;År1,0,H29*(1-VLOOKUP($A30,[1]Hugst!$R$5:$W$9,MATCH(ROUNDUP((I$1)/10,0)*10,[1]Hugst!$R$4:$W$4,0))))</f>
        <v>497.87612094865148</v>
      </c>
      <c r="J30">
        <f ca="1">IF($C30-J$1&lt;År1,0,I29*(1-VLOOKUP($A30,[1]Hugst!$R$5:$W$9,MATCH(ROUNDUP((J$1)/10,0)*10,[1]Hugst!$R$4:$W$4,0))))</f>
        <v>498.35831030539106</v>
      </c>
      <c r="K30">
        <f ca="1">IF($C30-K$1&lt;År1,0,J29*(1-VLOOKUP($A30,[1]Hugst!$R$5:$W$9,MATCH(ROUNDUP((K$1)/10,0)*10,[1]Hugst!$R$4:$W$4,0))))</f>
        <v>498.84292272422448</v>
      </c>
      <c r="L30">
        <f ca="1">IF($C30-L$1&lt;År1,0,K29*(1-VLOOKUP($A30,[1]Hugst!$R$5:$W$9,MATCH(ROUNDUP((L$1)/10,0)*10,[1]Hugst!$R$4:$W$4,0))))</f>
        <v>499.32997038134494</v>
      </c>
      <c r="M30">
        <f ca="1">IF($C30-M$1&lt;År1,0,L29*(1-VLOOKUP($A30,[1]Hugst!$R$5:$W$9,MATCH(ROUNDUP((M$1)/10,0)*10,[1]Hugst!$R$4:$W$4,0))))</f>
        <v>499.8194655141296</v>
      </c>
      <c r="N30">
        <f ca="1">IF($C30-N$1&lt;År1,0,M29*(1-VLOOKUP($A30,[1]Hugst!$R$5:$W$9,MATCH(ROUNDUP((N$1)/10,0)*10,[1]Hugst!$R$4:$W$4,0))))</f>
        <v>500.31142042144751</v>
      </c>
      <c r="O30">
        <f ca="1">IF($C30-O$1&lt;År1,0,N29*(1-VLOOKUP($A30,[1]Hugst!$R$5:$W$9,MATCH(ROUNDUP((O$1)/10,0)*10,[1]Hugst!$R$4:$W$4,0))))</f>
        <v>500.80584746397761</v>
      </c>
      <c r="P30">
        <f ca="1">IF($C30-P$1&lt;År1,0,O29*(1-VLOOKUP($A30,[1]Hugst!$R$5:$W$9,MATCH(ROUNDUP((P$1)/10,0)*10,[1]Hugst!$R$4:$W$4,0))))</f>
        <v>501.30275906451851</v>
      </c>
      <c r="Q30">
        <f ca="1">IF($C30-Q$1&lt;År1,0,P29*(1-VLOOKUP($A30,[1]Hugst!$R$5:$W$9,MATCH(ROUNDUP((Q$1)/10,0)*10,[1]Hugst!$R$4:$W$4,0))))</f>
        <v>501.80216770826922</v>
      </c>
      <c r="R30">
        <f ca="1">IF($C30-R$1&lt;År1,0,Q29*(1-VLOOKUP($A30,[1]Hugst!$R$5:$W$9,MATCH(ROUNDUP((R$1)/10,0)*10,[1]Hugst!$R$4:$W$4,0))))</f>
        <v>502.30408594319869</v>
      </c>
      <c r="S30">
        <f ca="1">IF($C30-S$1&lt;År1,0,R29*(1-VLOOKUP($A30,[1]Hugst!$R$5:$W$9,MATCH(ROUNDUP((S$1)/10,0)*10,[1]Hugst!$R$4:$W$4,0))))</f>
        <v>502.80852638031337</v>
      </c>
      <c r="T30">
        <f ca="1">IF($C30-T$1&lt;År1,0,S29*(1-VLOOKUP($A30,[1]Hugst!$R$5:$W$9,MATCH(ROUNDUP((T$1)/10,0)*10,[1]Hugst!$R$4:$W$4,0))))</f>
        <v>503.31550169399378</v>
      </c>
      <c r="U30">
        <f ca="1">IF($C30-U$1&lt;År1,0,T29*(1-VLOOKUP($A30,[1]Hugst!$R$5:$W$9,MATCH(ROUNDUP((U$1)/10,0)*10,[1]Hugst!$R$4:$W$4,0))))</f>
        <v>503.82502462231758</v>
      </c>
      <c r="V30">
        <f ca="1">IF($C30-V$1&lt;År1,0,U29*(1-VLOOKUP($A30,[1]Hugst!$R$5:$W$9,MATCH(ROUNDUP((V$1)/10,0)*10,[1]Hugst!$R$4:$W$4,0))))</f>
        <v>504.33710796736972</v>
      </c>
      <c r="W30">
        <f ca="1">IF($C30-W$1&lt;År1,0,V29*(1-VLOOKUP($A30,[1]Hugst!$R$5:$W$9,MATCH(ROUNDUP((W$1)/10,0)*10,[1]Hugst!$R$4:$W$4,0))))</f>
        <v>504.85176459555504</v>
      </c>
      <c r="X30">
        <f ca="1">IF($C30-X$1&lt;År1,0,W29*(1-VLOOKUP($A30,[1]Hugst!$R$5:$W$9,MATCH(ROUNDUP((X$1)/10,0)*10,[1]Hugst!$R$4:$W$4,0))))</f>
        <v>359.21612054433638</v>
      </c>
      <c r="Y30">
        <f ca="1">IF($C30-Y$1&lt;År1,0,X29*(1-VLOOKUP($A30,[1]Hugst!$R$5:$W$9,MATCH(ROUNDUP((Y$1)/10,0)*10,[1]Hugst!$R$4:$W$4,0))))</f>
        <v>359.73596259699673</v>
      </c>
      <c r="Z30">
        <f ca="1">IF($C30-Z$1&lt;År1,0,Y29*(1-VLOOKUP($A30,[1]Hugst!$R$5:$W$9,MATCH(ROUNDUP((Z$1)/10,0)*10,[1]Hugst!$R$4:$W$4,0))))</f>
        <v>360.2584169212887</v>
      </c>
      <c r="AA30">
        <f ca="1">IF($C30-AA$1&lt;År1,0,Z29*(1-VLOOKUP($A30,[1]Hugst!$R$5:$W$9,MATCH(ROUNDUP((AA$1)/10,0)*10,[1]Hugst!$R$4:$W$4,0))))</f>
        <v>360.7834966441892</v>
      </c>
      <c r="AB30">
        <f ca="1">IF($C30-AB$1&lt;År1,0,AA29*(1-VLOOKUP($A30,[1]Hugst!$R$5:$W$9,MATCH(ROUNDUP((AB$1)/10,0)*10,[1]Hugst!$R$4:$W$4,0))))</f>
        <v>361.31121495866228</v>
      </c>
      <c r="AC30">
        <f ca="1">IF($C30-AC$1&lt;År1,0,AB29*(1-VLOOKUP($A30,[1]Hugst!$R$5:$W$9,MATCH(ROUNDUP((AC$1)/10,0)*10,[1]Hugst!$R$4:$W$4,0))))</f>
        <v>361.84158512396232</v>
      </c>
      <c r="AD30">
        <f ca="1">IF($C30-AD$1&lt;År1,0,AC29*(1-VLOOKUP($A30,[1]Hugst!$R$5:$W$9,MATCH(ROUNDUP((AD$1)/10,0)*10,[1]Hugst!$R$4:$W$4,0))))</f>
        <v>362.37462046597341</v>
      </c>
      <c r="AE30">
        <f ca="1">IF($C30-AE$1&lt;År1,0,AD29*(1-VLOOKUP($A30,[1]Hugst!$R$5:$W$9,MATCH(ROUNDUP((AE$1)/10,0)*10,[1]Hugst!$R$4:$W$4,0))))</f>
        <v>362.9103343775422</v>
      </c>
      <c r="AF30">
        <f ca="1">IF($C30-AF$1&lt;År1,0,AE29*(1-VLOOKUP($A30,[1]Hugst!$R$5:$W$9,MATCH(ROUNDUP((AF$1)/10,0)*10,[1]Hugst!$R$4:$W$4,0))))</f>
        <v>363.44874031881761</v>
      </c>
      <c r="AG30">
        <f ca="1">IF($C30-AG$1&lt;År1,0,AF29*(1-VLOOKUP($A30,[1]Hugst!$R$5:$W$9,MATCH(ROUNDUP((AG$1)/10,0)*10,[1]Hugst!$R$4:$W$4,0))))</f>
        <v>363.98985181758314</v>
      </c>
      <c r="AH30">
        <f ca="1">IF($C30-AH$1&lt;År1,0,AG29*(1-VLOOKUP($A30,[1]Hugst!$R$5:$W$9,MATCH(ROUNDUP((AH$1)/10,0)*10,[1]Hugst!$R$4:$W$4,0))))</f>
        <v>364.53368246961463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495.97135274325814</v>
      </c>
      <c r="G31">
        <f ca="1">IF($C31-G$1&lt;År1,0,F30*(1-VLOOKUP($A31,[1]Hugst!$R$5:$W$9,MATCH(ROUNDUP((G$1)/10,0)*10,[1]Hugst!$R$4:$W$4,0))))</f>
        <v>496.44397040047301</v>
      </c>
      <c r="H31">
        <f ca="1">IF($C31-H$1&lt;År1,0,G30*(1-VLOOKUP($A31,[1]Hugst!$R$5:$W$9,MATCH(ROUNDUP((H$1)/10,0)*10,[1]Hugst!$R$4:$W$4,0))))</f>
        <v>496.91896302078652</v>
      </c>
      <c r="I31">
        <f ca="1">IF($C31-I$1&lt;År1,0,H30*(1-VLOOKUP($A31,[1]Hugst!$R$5:$W$9,MATCH(ROUNDUP((I$1)/10,0)*10,[1]Hugst!$R$4:$W$4,0))))</f>
        <v>497.39634253869866</v>
      </c>
      <c r="J31">
        <f ca="1">IF($C31-J$1&lt;År1,0,I30*(1-VLOOKUP($A31,[1]Hugst!$R$5:$W$9,MATCH(ROUNDUP((J$1)/10,0)*10,[1]Hugst!$R$4:$W$4,0))))</f>
        <v>497.87612094865148</v>
      </c>
      <c r="K31">
        <f ca="1">IF($C31-K$1&lt;År1,0,J30*(1-VLOOKUP($A31,[1]Hugst!$R$5:$W$9,MATCH(ROUNDUP((K$1)/10,0)*10,[1]Hugst!$R$4:$W$4,0))))</f>
        <v>498.35831030539106</v>
      </c>
      <c r="L31">
        <f ca="1">IF($C31-L$1&lt;År1,0,K30*(1-VLOOKUP($A31,[1]Hugst!$R$5:$W$9,MATCH(ROUNDUP((L$1)/10,0)*10,[1]Hugst!$R$4:$W$4,0))))</f>
        <v>498.84292272422448</v>
      </c>
      <c r="M31">
        <f ca="1">IF($C31-M$1&lt;År1,0,L30*(1-VLOOKUP($A31,[1]Hugst!$R$5:$W$9,MATCH(ROUNDUP((M$1)/10,0)*10,[1]Hugst!$R$4:$W$4,0))))</f>
        <v>499.32997038134494</v>
      </c>
      <c r="N31">
        <f ca="1">IF($C31-N$1&lt;År1,0,M30*(1-VLOOKUP($A31,[1]Hugst!$R$5:$W$9,MATCH(ROUNDUP((N$1)/10,0)*10,[1]Hugst!$R$4:$W$4,0))))</f>
        <v>499.8194655141296</v>
      </c>
      <c r="O31">
        <f ca="1">IF($C31-O$1&lt;År1,0,N30*(1-VLOOKUP($A31,[1]Hugst!$R$5:$W$9,MATCH(ROUNDUP((O$1)/10,0)*10,[1]Hugst!$R$4:$W$4,0))))</f>
        <v>500.31142042144751</v>
      </c>
      <c r="P31">
        <f ca="1">IF($C31-P$1&lt;År1,0,O30*(1-VLOOKUP($A31,[1]Hugst!$R$5:$W$9,MATCH(ROUNDUP((P$1)/10,0)*10,[1]Hugst!$R$4:$W$4,0))))</f>
        <v>500.80584746397761</v>
      </c>
      <c r="Q31">
        <f ca="1">IF($C31-Q$1&lt;År1,0,P30*(1-VLOOKUP($A31,[1]Hugst!$R$5:$W$9,MATCH(ROUNDUP((Q$1)/10,0)*10,[1]Hugst!$R$4:$W$4,0))))</f>
        <v>501.30275906451851</v>
      </c>
      <c r="R31">
        <f ca="1">IF($C31-R$1&lt;År1,0,Q30*(1-VLOOKUP($A31,[1]Hugst!$R$5:$W$9,MATCH(ROUNDUP((R$1)/10,0)*10,[1]Hugst!$R$4:$W$4,0))))</f>
        <v>501.80216770826922</v>
      </c>
      <c r="S31">
        <f ca="1">IF($C31-S$1&lt;År1,0,R30*(1-VLOOKUP($A31,[1]Hugst!$R$5:$W$9,MATCH(ROUNDUP((S$1)/10,0)*10,[1]Hugst!$R$4:$W$4,0))))</f>
        <v>502.30408594319869</v>
      </c>
      <c r="T31">
        <f ca="1">IF($C31-T$1&lt;År1,0,S30*(1-VLOOKUP($A31,[1]Hugst!$R$5:$W$9,MATCH(ROUNDUP((T$1)/10,0)*10,[1]Hugst!$R$4:$W$4,0))))</f>
        <v>502.80852638031337</v>
      </c>
      <c r="U31">
        <f ca="1">IF($C31-U$1&lt;År1,0,T30*(1-VLOOKUP($A31,[1]Hugst!$R$5:$W$9,MATCH(ROUNDUP((U$1)/10,0)*10,[1]Hugst!$R$4:$W$4,0))))</f>
        <v>503.31550169399378</v>
      </c>
      <c r="V31">
        <f ca="1">IF($C31-V$1&lt;År1,0,U30*(1-VLOOKUP($A31,[1]Hugst!$R$5:$W$9,MATCH(ROUNDUP((V$1)/10,0)*10,[1]Hugst!$R$4:$W$4,0))))</f>
        <v>503.82502462231758</v>
      </c>
      <c r="W31">
        <f ca="1">IF($C31-W$1&lt;År1,0,V30*(1-VLOOKUP($A31,[1]Hugst!$R$5:$W$9,MATCH(ROUNDUP((W$1)/10,0)*10,[1]Hugst!$R$4:$W$4,0))))</f>
        <v>504.33710796736972</v>
      </c>
      <c r="X31">
        <f ca="1">IF($C31-X$1&lt;År1,0,W30*(1-VLOOKUP($A31,[1]Hugst!$R$5:$W$9,MATCH(ROUNDUP((X$1)/10,0)*10,[1]Hugst!$R$4:$W$4,0))))</f>
        <v>504.85176459555504</v>
      </c>
      <c r="Y31">
        <f ca="1">IF($C31-Y$1&lt;År1,0,X30*(1-VLOOKUP($A31,[1]Hugst!$R$5:$W$9,MATCH(ROUNDUP((Y$1)/10,0)*10,[1]Hugst!$R$4:$W$4,0))))</f>
        <v>359.21612054433638</v>
      </c>
      <c r="Z31">
        <f ca="1">IF($C31-Z$1&lt;År1,0,Y30*(1-VLOOKUP($A31,[1]Hugst!$R$5:$W$9,MATCH(ROUNDUP((Z$1)/10,0)*10,[1]Hugst!$R$4:$W$4,0))))</f>
        <v>359.73596259699673</v>
      </c>
      <c r="AA31">
        <f ca="1">IF($C31-AA$1&lt;År1,0,Z30*(1-VLOOKUP($A31,[1]Hugst!$R$5:$W$9,MATCH(ROUNDUP((AA$1)/10,0)*10,[1]Hugst!$R$4:$W$4,0))))</f>
        <v>360.2584169212887</v>
      </c>
      <c r="AB31">
        <f ca="1">IF($C31-AB$1&lt;År1,0,AA30*(1-VLOOKUP($A31,[1]Hugst!$R$5:$W$9,MATCH(ROUNDUP((AB$1)/10,0)*10,[1]Hugst!$R$4:$W$4,0))))</f>
        <v>360.7834966441892</v>
      </c>
      <c r="AC31">
        <f ca="1">IF($C31-AC$1&lt;År1,0,AB30*(1-VLOOKUP($A31,[1]Hugst!$R$5:$W$9,MATCH(ROUNDUP((AC$1)/10,0)*10,[1]Hugst!$R$4:$W$4,0))))</f>
        <v>361.31121495866228</v>
      </c>
      <c r="AD31">
        <f ca="1">IF($C31-AD$1&lt;År1,0,AC30*(1-VLOOKUP($A31,[1]Hugst!$R$5:$W$9,MATCH(ROUNDUP((AD$1)/10,0)*10,[1]Hugst!$R$4:$W$4,0))))</f>
        <v>361.84158512396232</v>
      </c>
      <c r="AE31">
        <f ca="1">IF($C31-AE$1&lt;År1,0,AD30*(1-VLOOKUP($A31,[1]Hugst!$R$5:$W$9,MATCH(ROUNDUP((AE$1)/10,0)*10,[1]Hugst!$R$4:$W$4,0))))</f>
        <v>362.37462046597341</v>
      </c>
      <c r="AF31">
        <f ca="1">IF($C31-AF$1&lt;År1,0,AE30*(1-VLOOKUP($A31,[1]Hugst!$R$5:$W$9,MATCH(ROUNDUP((AF$1)/10,0)*10,[1]Hugst!$R$4:$W$4,0))))</f>
        <v>362.9103343775422</v>
      </c>
      <c r="AG31">
        <f ca="1">IF($C31-AG$1&lt;År1,0,AF30*(1-VLOOKUP($A31,[1]Hugst!$R$5:$W$9,MATCH(ROUNDUP((AG$1)/10,0)*10,[1]Hugst!$R$4:$W$4,0))))</f>
        <v>363.44874031881761</v>
      </c>
      <c r="AH31">
        <f ca="1">IF($C31-AH$1&lt;År1,0,AG30*(1-VLOOKUP($A31,[1]Hugst!$R$5:$W$9,MATCH(ROUNDUP((AH$1)/10,0)*10,[1]Hugst!$R$4:$W$4,0))))</f>
        <v>363.98985181758314</v>
      </c>
      <c r="AI31">
        <f ca="1">IF($C31-AI$1&lt;År1,0,AH30*(1-VLOOKUP($A31,[1]Hugst!$R$5:$W$9,MATCH(ROUNDUP((AI$1)/10,0)*10,[1]Hugst!$R$4:$W$4,0))))</f>
        <v>364.53368246961463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1.2021855485709239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496.70328372290163</v>
      </c>
      <c r="G32">
        <f ca="1">IF($C32-G$1&lt;År1,0,F31*(1-VLOOKUP($A32,[1]Hugst!$R$5:$W$9,MATCH(ROUNDUP((G$1)/10,0)*10,[1]Hugst!$R$4:$W$4,0))))</f>
        <v>495.97135274325814</v>
      </c>
      <c r="H32">
        <f ca="1">IF($C32-H$1&lt;År1,0,G31*(1-VLOOKUP($A32,[1]Hugst!$R$5:$W$9,MATCH(ROUNDUP((H$1)/10,0)*10,[1]Hugst!$R$4:$W$4,0))))</f>
        <v>496.44397040047301</v>
      </c>
      <c r="I32">
        <f ca="1">IF($C32-I$1&lt;År1,0,H31*(1-VLOOKUP($A32,[1]Hugst!$R$5:$W$9,MATCH(ROUNDUP((I$1)/10,0)*10,[1]Hugst!$R$4:$W$4,0))))</f>
        <v>496.91896302078652</v>
      </c>
      <c r="J32">
        <f ca="1">IF($C32-J$1&lt;År1,0,I31*(1-VLOOKUP($A32,[1]Hugst!$R$5:$W$9,MATCH(ROUNDUP((J$1)/10,0)*10,[1]Hugst!$R$4:$W$4,0))))</f>
        <v>497.39634253869866</v>
      </c>
      <c r="K32">
        <f ca="1">IF($C32-K$1&lt;År1,0,J31*(1-VLOOKUP($A32,[1]Hugst!$R$5:$W$9,MATCH(ROUNDUP((K$1)/10,0)*10,[1]Hugst!$R$4:$W$4,0))))</f>
        <v>497.87612094865148</v>
      </c>
      <c r="L32">
        <f ca="1">IF($C32-L$1&lt;År1,0,K31*(1-VLOOKUP($A32,[1]Hugst!$R$5:$W$9,MATCH(ROUNDUP((L$1)/10,0)*10,[1]Hugst!$R$4:$W$4,0))))</f>
        <v>498.35831030539106</v>
      </c>
      <c r="M32">
        <f ca="1">IF($C32-M$1&lt;År1,0,L31*(1-VLOOKUP($A32,[1]Hugst!$R$5:$W$9,MATCH(ROUNDUP((M$1)/10,0)*10,[1]Hugst!$R$4:$W$4,0))))</f>
        <v>498.84292272422448</v>
      </c>
      <c r="N32">
        <f ca="1">IF($C32-N$1&lt;År1,0,M31*(1-VLOOKUP($A32,[1]Hugst!$R$5:$W$9,MATCH(ROUNDUP((N$1)/10,0)*10,[1]Hugst!$R$4:$W$4,0))))</f>
        <v>499.32997038134494</v>
      </c>
      <c r="O32">
        <f ca="1">IF($C32-O$1&lt;År1,0,N31*(1-VLOOKUP($A32,[1]Hugst!$R$5:$W$9,MATCH(ROUNDUP((O$1)/10,0)*10,[1]Hugst!$R$4:$W$4,0))))</f>
        <v>499.8194655141296</v>
      </c>
      <c r="P32">
        <f ca="1">IF($C32-P$1&lt;År1,0,O31*(1-VLOOKUP($A32,[1]Hugst!$R$5:$W$9,MATCH(ROUNDUP((P$1)/10,0)*10,[1]Hugst!$R$4:$W$4,0))))</f>
        <v>500.31142042144751</v>
      </c>
      <c r="Q32">
        <f ca="1">IF($C32-Q$1&lt;År1,0,P31*(1-VLOOKUP($A32,[1]Hugst!$R$5:$W$9,MATCH(ROUNDUP((Q$1)/10,0)*10,[1]Hugst!$R$4:$W$4,0))))</f>
        <v>500.80584746397761</v>
      </c>
      <c r="R32">
        <f ca="1">IF($C32-R$1&lt;År1,0,Q31*(1-VLOOKUP($A32,[1]Hugst!$R$5:$W$9,MATCH(ROUNDUP((R$1)/10,0)*10,[1]Hugst!$R$4:$W$4,0))))</f>
        <v>501.30275906451851</v>
      </c>
      <c r="S32">
        <f ca="1">IF($C32-S$1&lt;År1,0,R31*(1-VLOOKUP($A32,[1]Hugst!$R$5:$W$9,MATCH(ROUNDUP((S$1)/10,0)*10,[1]Hugst!$R$4:$W$4,0))))</f>
        <v>501.80216770826922</v>
      </c>
      <c r="T32">
        <f ca="1">IF($C32-T$1&lt;År1,0,S31*(1-VLOOKUP($A32,[1]Hugst!$R$5:$W$9,MATCH(ROUNDUP((T$1)/10,0)*10,[1]Hugst!$R$4:$W$4,0))))</f>
        <v>502.30408594319869</v>
      </c>
      <c r="U32">
        <f ca="1">IF($C32-U$1&lt;År1,0,T31*(1-VLOOKUP($A32,[1]Hugst!$R$5:$W$9,MATCH(ROUNDUP((U$1)/10,0)*10,[1]Hugst!$R$4:$W$4,0))))</f>
        <v>502.80852638031337</v>
      </c>
      <c r="V32">
        <f ca="1">IF($C32-V$1&lt;År1,0,U31*(1-VLOOKUP($A32,[1]Hugst!$R$5:$W$9,MATCH(ROUNDUP((V$1)/10,0)*10,[1]Hugst!$R$4:$W$4,0))))</f>
        <v>503.31550169399378</v>
      </c>
      <c r="W32">
        <f ca="1">IF($C32-W$1&lt;År1,0,V31*(1-VLOOKUP($A32,[1]Hugst!$R$5:$W$9,MATCH(ROUNDUP((W$1)/10,0)*10,[1]Hugst!$R$4:$W$4,0))))</f>
        <v>503.82502462231758</v>
      </c>
      <c r="X32">
        <f ca="1">IF($C32-X$1&lt;År1,0,W31*(1-VLOOKUP($A32,[1]Hugst!$R$5:$W$9,MATCH(ROUNDUP((X$1)/10,0)*10,[1]Hugst!$R$4:$W$4,0))))</f>
        <v>504.33710796736972</v>
      </c>
      <c r="Y32">
        <f ca="1">IF($C32-Y$1&lt;År1,0,X31*(1-VLOOKUP($A32,[1]Hugst!$R$5:$W$9,MATCH(ROUNDUP((Y$1)/10,0)*10,[1]Hugst!$R$4:$W$4,0))))</f>
        <v>504.85176459555504</v>
      </c>
      <c r="Z32">
        <f ca="1">IF($C32-Z$1&lt;År1,0,Y31*(1-VLOOKUP($A32,[1]Hugst!$R$5:$W$9,MATCH(ROUNDUP((Z$1)/10,0)*10,[1]Hugst!$R$4:$W$4,0))))</f>
        <v>359.21612054433638</v>
      </c>
      <c r="AA32">
        <f ca="1">IF($C32-AA$1&lt;År1,0,Z31*(1-VLOOKUP($A32,[1]Hugst!$R$5:$W$9,MATCH(ROUNDUP((AA$1)/10,0)*10,[1]Hugst!$R$4:$W$4,0))))</f>
        <v>359.73596259699673</v>
      </c>
      <c r="AB32">
        <f ca="1">IF($C32-AB$1&lt;År1,0,AA31*(1-VLOOKUP($A32,[1]Hugst!$R$5:$W$9,MATCH(ROUNDUP((AB$1)/10,0)*10,[1]Hugst!$R$4:$W$4,0))))</f>
        <v>360.2584169212887</v>
      </c>
      <c r="AC32">
        <f ca="1">IF($C32-AC$1&lt;År1,0,AB31*(1-VLOOKUP($A32,[1]Hugst!$R$5:$W$9,MATCH(ROUNDUP((AC$1)/10,0)*10,[1]Hugst!$R$4:$W$4,0))))</f>
        <v>360.7834966441892</v>
      </c>
      <c r="AD32">
        <f ca="1">IF($C32-AD$1&lt;År1,0,AC31*(1-VLOOKUP($A32,[1]Hugst!$R$5:$W$9,MATCH(ROUNDUP((AD$1)/10,0)*10,[1]Hugst!$R$4:$W$4,0))))</f>
        <v>361.31121495866228</v>
      </c>
      <c r="AE32">
        <f ca="1">IF($C32-AE$1&lt;År1,0,AD31*(1-VLOOKUP($A32,[1]Hugst!$R$5:$W$9,MATCH(ROUNDUP((AE$1)/10,0)*10,[1]Hugst!$R$4:$W$4,0))))</f>
        <v>361.84158512396232</v>
      </c>
      <c r="AF32">
        <f ca="1">IF($C32-AF$1&lt;År1,0,AE31*(1-VLOOKUP($A32,[1]Hugst!$R$5:$W$9,MATCH(ROUNDUP((AF$1)/10,0)*10,[1]Hugst!$R$4:$W$4,0))))</f>
        <v>362.37462046597341</v>
      </c>
      <c r="AG32">
        <f ca="1">IF($C32-AG$1&lt;År1,0,AF31*(1-VLOOKUP($A32,[1]Hugst!$R$5:$W$9,MATCH(ROUNDUP((AG$1)/10,0)*10,[1]Hugst!$R$4:$W$4,0))))</f>
        <v>362.9103343775422</v>
      </c>
      <c r="AH32">
        <f ca="1">IF($C32-AH$1&lt;År1,0,AG31*(1-VLOOKUP($A32,[1]Hugst!$R$5:$W$9,MATCH(ROUNDUP((AH$1)/10,0)*10,[1]Hugst!$R$4:$W$4,0))))</f>
        <v>363.44874031881761</v>
      </c>
      <c r="AI32">
        <f ca="1">IF($C32-AI$1&lt;År1,0,AH31*(1-VLOOKUP($A32,[1]Hugst!$R$5:$W$9,MATCH(ROUNDUP((AI$1)/10,0)*10,[1]Hugst!$R$4:$W$4,0))))</f>
        <v>363.98985181758314</v>
      </c>
      <c r="AJ32">
        <f ca="1">IF($C32-AJ$1&lt;År1,0,AI31*(1-VLOOKUP($A32,[1]Hugst!$R$5:$W$9,MATCH(ROUNDUP((AJ$1)/10,0)*10,[1]Hugst!$R$4:$W$4,0))))</f>
        <v>363.33149692104462</v>
      </c>
      <c r="AL32">
        <f ca="1">SUM(F32:AJ32)</f>
        <v>13982.526748851215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70.681612143180047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70.522430295208849</v>
      </c>
      <c r="G34">
        <f ca="1">IF($C34-G$1&lt;År1,0,F33*(1-VLOOKUP($A34,[1]Hugst!$R$5:$W$9,MATCH(ROUNDUP((G$1)/10,0)*10,[1]Hugst!$R$4:$W$4,0))))</f>
        <v>70.681612143180047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70.364044356477635</v>
      </c>
      <c r="G35">
        <f ca="1">IF($C35-G$1&lt;År1,0,F34*(1-VLOOKUP($A35,[1]Hugst!$R$5:$W$9,MATCH(ROUNDUP((G$1)/10,0)*10,[1]Hugst!$R$4:$W$4,0))))</f>
        <v>70.522430295208849</v>
      </c>
      <c r="H35">
        <f ca="1">IF($C35-H$1&lt;År1,0,G34*(1-VLOOKUP($A35,[1]Hugst!$R$5:$W$9,MATCH(ROUNDUP((H$1)/10,0)*10,[1]Hugst!$R$4:$W$4,0))))</f>
        <v>70.681612143180047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70.206450347439187</v>
      </c>
      <c r="G36">
        <f ca="1">IF($C36-G$1&lt;År1,0,F35*(1-VLOOKUP($A36,[1]Hugst!$R$5:$W$9,MATCH(ROUNDUP((G$1)/10,0)*10,[1]Hugst!$R$4:$W$4,0))))</f>
        <v>70.364044356477635</v>
      </c>
      <c r="H36">
        <f ca="1">IF($C36-H$1&lt;År1,0,G35*(1-VLOOKUP($A36,[1]Hugst!$R$5:$W$9,MATCH(ROUNDUP((H$1)/10,0)*10,[1]Hugst!$R$4:$W$4,0))))</f>
        <v>70.522430295208849</v>
      </c>
      <c r="I36">
        <f ca="1">IF($C36-I$1&lt;År1,0,H35*(1-VLOOKUP($A36,[1]Hugst!$R$5:$W$9,MATCH(ROUNDUP((I$1)/10,0)*10,[1]Hugst!$R$4:$W$4,0))))</f>
        <v>70.681612143180047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70.049644308447569</v>
      </c>
      <c r="G37">
        <f ca="1">IF($C37-G$1&lt;År1,0,F36*(1-VLOOKUP($A37,[1]Hugst!$R$5:$W$9,MATCH(ROUNDUP((G$1)/10,0)*10,[1]Hugst!$R$4:$W$4,0))))</f>
        <v>70.206450347439187</v>
      </c>
      <c r="H37">
        <f ca="1">IF($C37-H$1&lt;År1,0,G36*(1-VLOOKUP($A37,[1]Hugst!$R$5:$W$9,MATCH(ROUNDUP((H$1)/10,0)*10,[1]Hugst!$R$4:$W$4,0))))</f>
        <v>70.364044356477635</v>
      </c>
      <c r="I37">
        <f ca="1">IF($C37-I$1&lt;År1,0,H36*(1-VLOOKUP($A37,[1]Hugst!$R$5:$W$9,MATCH(ROUNDUP((I$1)/10,0)*10,[1]Hugst!$R$4:$W$4,0))))</f>
        <v>70.522430295208849</v>
      </c>
      <c r="J37">
        <f ca="1">IF($C37-J$1&lt;År1,0,I36*(1-VLOOKUP($A37,[1]Hugst!$R$5:$W$9,MATCH(ROUNDUP((J$1)/10,0)*10,[1]Hugst!$R$4:$W$4,0))))</f>
        <v>70.681612143180047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69.893622299649508</v>
      </c>
      <c r="G38">
        <f ca="1">IF($C38-G$1&lt;År1,0,F37*(1-VLOOKUP($A38,[1]Hugst!$R$5:$W$9,MATCH(ROUNDUP((G$1)/10,0)*10,[1]Hugst!$R$4:$W$4,0))))</f>
        <v>70.049644308447569</v>
      </c>
      <c r="H38">
        <f ca="1">IF($C38-H$1&lt;År1,0,G37*(1-VLOOKUP($A38,[1]Hugst!$R$5:$W$9,MATCH(ROUNDUP((H$1)/10,0)*10,[1]Hugst!$R$4:$W$4,0))))</f>
        <v>70.206450347439187</v>
      </c>
      <c r="I38">
        <f ca="1">IF($C38-I$1&lt;År1,0,H37*(1-VLOOKUP($A38,[1]Hugst!$R$5:$W$9,MATCH(ROUNDUP((I$1)/10,0)*10,[1]Hugst!$R$4:$W$4,0))))</f>
        <v>70.364044356477635</v>
      </c>
      <c r="J38">
        <f ca="1">IF($C38-J$1&lt;År1,0,I37*(1-VLOOKUP($A38,[1]Hugst!$R$5:$W$9,MATCH(ROUNDUP((J$1)/10,0)*10,[1]Hugst!$R$4:$W$4,0))))</f>
        <v>70.522430295208849</v>
      </c>
      <c r="K38">
        <f ca="1">IF($C38-K$1&lt;År1,0,J37*(1-VLOOKUP($A38,[1]Hugst!$R$5:$W$9,MATCH(ROUNDUP((K$1)/10,0)*10,[1]Hugst!$R$4:$W$4,0))))</f>
        <v>70.681612143180047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69.73838040089737</v>
      </c>
      <c r="G39">
        <f ca="1">IF($C39-G$1&lt;År1,0,F38*(1-VLOOKUP($A39,[1]Hugst!$R$5:$W$9,MATCH(ROUNDUP((G$1)/10,0)*10,[1]Hugst!$R$4:$W$4,0))))</f>
        <v>69.893622299649508</v>
      </c>
      <c r="H39">
        <f ca="1">IF($C39-H$1&lt;År1,0,G38*(1-VLOOKUP($A39,[1]Hugst!$R$5:$W$9,MATCH(ROUNDUP((H$1)/10,0)*10,[1]Hugst!$R$4:$W$4,0))))</f>
        <v>70.049644308447569</v>
      </c>
      <c r="I39">
        <f ca="1">IF($C39-I$1&lt;År1,0,H38*(1-VLOOKUP($A39,[1]Hugst!$R$5:$W$9,MATCH(ROUNDUP((I$1)/10,0)*10,[1]Hugst!$R$4:$W$4,0))))</f>
        <v>70.206450347439187</v>
      </c>
      <c r="J39">
        <f ca="1">IF($C39-J$1&lt;År1,0,I38*(1-VLOOKUP($A39,[1]Hugst!$R$5:$W$9,MATCH(ROUNDUP((J$1)/10,0)*10,[1]Hugst!$R$4:$W$4,0))))</f>
        <v>70.364044356477635</v>
      </c>
      <c r="K39">
        <f ca="1">IF($C39-K$1&lt;År1,0,J38*(1-VLOOKUP($A39,[1]Hugst!$R$5:$W$9,MATCH(ROUNDUP((K$1)/10,0)*10,[1]Hugst!$R$4:$W$4,0))))</f>
        <v>70.522430295208849</v>
      </c>
      <c r="L39">
        <f ca="1">IF($C39-L$1&lt;År1,0,K38*(1-VLOOKUP($A39,[1]Hugst!$R$5:$W$9,MATCH(ROUNDUP((L$1)/10,0)*10,[1]Hugst!$R$4:$W$4,0))))</f>
        <v>70.681612143180047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69.583914711636112</v>
      </c>
      <c r="G40">
        <f ca="1">IF($C40-G$1&lt;År1,0,F39*(1-VLOOKUP($A40,[1]Hugst!$R$5:$W$9,MATCH(ROUNDUP((G$1)/10,0)*10,[1]Hugst!$R$4:$W$4,0))))</f>
        <v>69.73838040089737</v>
      </c>
      <c r="H40">
        <f ca="1">IF($C40-H$1&lt;År1,0,G39*(1-VLOOKUP($A40,[1]Hugst!$R$5:$W$9,MATCH(ROUNDUP((H$1)/10,0)*10,[1]Hugst!$R$4:$W$4,0))))</f>
        <v>69.893622299649508</v>
      </c>
      <c r="I40">
        <f ca="1">IF($C40-I$1&lt;År1,0,H39*(1-VLOOKUP($A40,[1]Hugst!$R$5:$W$9,MATCH(ROUNDUP((I$1)/10,0)*10,[1]Hugst!$R$4:$W$4,0))))</f>
        <v>70.049644308447569</v>
      </c>
      <c r="J40">
        <f ca="1">IF($C40-J$1&lt;År1,0,I39*(1-VLOOKUP($A40,[1]Hugst!$R$5:$W$9,MATCH(ROUNDUP((J$1)/10,0)*10,[1]Hugst!$R$4:$W$4,0))))</f>
        <v>70.206450347439187</v>
      </c>
      <c r="K40">
        <f ca="1">IF($C40-K$1&lt;År1,0,J39*(1-VLOOKUP($A40,[1]Hugst!$R$5:$W$9,MATCH(ROUNDUP((K$1)/10,0)*10,[1]Hugst!$R$4:$W$4,0))))</f>
        <v>70.364044356477635</v>
      </c>
      <c r="L40">
        <f ca="1">IF($C40-L$1&lt;År1,0,K39*(1-VLOOKUP($A40,[1]Hugst!$R$5:$W$9,MATCH(ROUNDUP((L$1)/10,0)*10,[1]Hugst!$R$4:$W$4,0))))</f>
        <v>70.522430295208849</v>
      </c>
      <c r="M40">
        <f ca="1">IF($C40-M$1&lt;År1,0,L39*(1-VLOOKUP($A40,[1]Hugst!$R$5:$W$9,MATCH(ROUNDUP((M$1)/10,0)*10,[1]Hugst!$R$4:$W$4,0))))</f>
        <v>70.681612143180047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69.430221350823388</v>
      </c>
      <c r="G41">
        <f ca="1">IF($C41-G$1&lt;År1,0,F40*(1-VLOOKUP($A41,[1]Hugst!$R$5:$W$9,MATCH(ROUNDUP((G$1)/10,0)*10,[1]Hugst!$R$4:$W$4,0))))</f>
        <v>69.583914711636112</v>
      </c>
      <c r="H41">
        <f ca="1">IF($C41-H$1&lt;År1,0,G40*(1-VLOOKUP($A41,[1]Hugst!$R$5:$W$9,MATCH(ROUNDUP((H$1)/10,0)*10,[1]Hugst!$R$4:$W$4,0))))</f>
        <v>69.73838040089737</v>
      </c>
      <c r="I41">
        <f ca="1">IF($C41-I$1&lt;År1,0,H40*(1-VLOOKUP($A41,[1]Hugst!$R$5:$W$9,MATCH(ROUNDUP((I$1)/10,0)*10,[1]Hugst!$R$4:$W$4,0))))</f>
        <v>69.893622299649508</v>
      </c>
      <c r="J41">
        <f ca="1">IF($C41-J$1&lt;År1,0,I40*(1-VLOOKUP($A41,[1]Hugst!$R$5:$W$9,MATCH(ROUNDUP((J$1)/10,0)*10,[1]Hugst!$R$4:$W$4,0))))</f>
        <v>70.049644308447569</v>
      </c>
      <c r="K41">
        <f ca="1">IF($C41-K$1&lt;År1,0,J40*(1-VLOOKUP($A41,[1]Hugst!$R$5:$W$9,MATCH(ROUNDUP((K$1)/10,0)*10,[1]Hugst!$R$4:$W$4,0))))</f>
        <v>70.206450347439187</v>
      </c>
      <c r="L41">
        <f ca="1">IF($C41-L$1&lt;År1,0,K40*(1-VLOOKUP($A41,[1]Hugst!$R$5:$W$9,MATCH(ROUNDUP((L$1)/10,0)*10,[1]Hugst!$R$4:$W$4,0))))</f>
        <v>70.364044356477635</v>
      </c>
      <c r="M41">
        <f ca="1">IF($C41-M$1&lt;År1,0,L40*(1-VLOOKUP($A41,[1]Hugst!$R$5:$W$9,MATCH(ROUNDUP((M$1)/10,0)*10,[1]Hugst!$R$4:$W$4,0))))</f>
        <v>70.522430295208849</v>
      </c>
      <c r="N41">
        <f ca="1">IF($C41-N$1&lt;År1,0,M40*(1-VLOOKUP($A41,[1]Hugst!$R$5:$W$9,MATCH(ROUNDUP((N$1)/10,0)*10,[1]Hugst!$R$4:$W$4,0))))</f>
        <v>70.681612143180047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69.277296456813701</v>
      </c>
      <c r="G42">
        <f ca="1">IF($C42-G$1&lt;År1,0,F41*(1-VLOOKUP($A42,[1]Hugst!$R$5:$W$9,MATCH(ROUNDUP((G$1)/10,0)*10,[1]Hugst!$R$4:$W$4,0))))</f>
        <v>69.430221350823388</v>
      </c>
      <c r="H42">
        <f ca="1">IF($C42-H$1&lt;År1,0,G41*(1-VLOOKUP($A42,[1]Hugst!$R$5:$W$9,MATCH(ROUNDUP((H$1)/10,0)*10,[1]Hugst!$R$4:$W$4,0))))</f>
        <v>69.583914711636112</v>
      </c>
      <c r="I42">
        <f ca="1">IF($C42-I$1&lt;År1,0,H41*(1-VLOOKUP($A42,[1]Hugst!$R$5:$W$9,MATCH(ROUNDUP((I$1)/10,0)*10,[1]Hugst!$R$4:$W$4,0))))</f>
        <v>69.73838040089737</v>
      </c>
      <c r="J42">
        <f ca="1">IF($C42-J$1&lt;År1,0,I41*(1-VLOOKUP($A42,[1]Hugst!$R$5:$W$9,MATCH(ROUNDUP((J$1)/10,0)*10,[1]Hugst!$R$4:$W$4,0))))</f>
        <v>69.893622299649508</v>
      </c>
      <c r="K42">
        <f ca="1">IF($C42-K$1&lt;År1,0,J41*(1-VLOOKUP($A42,[1]Hugst!$R$5:$W$9,MATCH(ROUNDUP((K$1)/10,0)*10,[1]Hugst!$R$4:$W$4,0))))</f>
        <v>70.049644308447569</v>
      </c>
      <c r="L42">
        <f ca="1">IF($C42-L$1&lt;År1,0,K41*(1-VLOOKUP($A42,[1]Hugst!$R$5:$W$9,MATCH(ROUNDUP((L$1)/10,0)*10,[1]Hugst!$R$4:$W$4,0))))</f>
        <v>70.206450347439187</v>
      </c>
      <c r="M42">
        <f ca="1">IF($C42-M$1&lt;År1,0,L41*(1-VLOOKUP($A42,[1]Hugst!$R$5:$W$9,MATCH(ROUNDUP((M$1)/10,0)*10,[1]Hugst!$R$4:$W$4,0))))</f>
        <v>70.364044356477635</v>
      </c>
      <c r="N42">
        <f ca="1">IF($C42-N$1&lt;År1,0,M41*(1-VLOOKUP($A42,[1]Hugst!$R$5:$W$9,MATCH(ROUNDUP((N$1)/10,0)*10,[1]Hugst!$R$4:$W$4,0))))</f>
        <v>70.522430295208849</v>
      </c>
      <c r="O42">
        <f ca="1">IF($C42-O$1&lt;År1,0,N41*(1-VLOOKUP($A42,[1]Hugst!$R$5:$W$9,MATCH(ROUNDUP((O$1)/10,0)*10,[1]Hugst!$R$4:$W$4,0))))</f>
        <v>70.681612143180047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69.125136187275132</v>
      </c>
      <c r="G43">
        <f ca="1">IF($C43-G$1&lt;År1,0,F42*(1-VLOOKUP($A43,[1]Hugst!$R$5:$W$9,MATCH(ROUNDUP((G$1)/10,0)*10,[1]Hugst!$R$4:$W$4,0))))</f>
        <v>69.277296456813701</v>
      </c>
      <c r="H43">
        <f ca="1">IF($C43-H$1&lt;År1,0,G42*(1-VLOOKUP($A43,[1]Hugst!$R$5:$W$9,MATCH(ROUNDUP((H$1)/10,0)*10,[1]Hugst!$R$4:$W$4,0))))</f>
        <v>69.430221350823388</v>
      </c>
      <c r="I43">
        <f ca="1">IF($C43-I$1&lt;År1,0,H42*(1-VLOOKUP($A43,[1]Hugst!$R$5:$W$9,MATCH(ROUNDUP((I$1)/10,0)*10,[1]Hugst!$R$4:$W$4,0))))</f>
        <v>69.583914711636112</v>
      </c>
      <c r="J43">
        <f ca="1">IF($C43-J$1&lt;År1,0,I42*(1-VLOOKUP($A43,[1]Hugst!$R$5:$W$9,MATCH(ROUNDUP((J$1)/10,0)*10,[1]Hugst!$R$4:$W$4,0))))</f>
        <v>69.73838040089737</v>
      </c>
      <c r="K43">
        <f ca="1">IF($C43-K$1&lt;År1,0,J42*(1-VLOOKUP($A43,[1]Hugst!$R$5:$W$9,MATCH(ROUNDUP((K$1)/10,0)*10,[1]Hugst!$R$4:$W$4,0))))</f>
        <v>69.893622299649508</v>
      </c>
      <c r="L43">
        <f ca="1">IF($C43-L$1&lt;År1,0,K42*(1-VLOOKUP($A43,[1]Hugst!$R$5:$W$9,MATCH(ROUNDUP((L$1)/10,0)*10,[1]Hugst!$R$4:$W$4,0))))</f>
        <v>70.049644308447569</v>
      </c>
      <c r="M43">
        <f ca="1">IF($C43-M$1&lt;År1,0,L42*(1-VLOOKUP($A43,[1]Hugst!$R$5:$W$9,MATCH(ROUNDUP((M$1)/10,0)*10,[1]Hugst!$R$4:$W$4,0))))</f>
        <v>70.206450347439187</v>
      </c>
      <c r="N43">
        <f ca="1">IF($C43-N$1&lt;År1,0,M42*(1-VLOOKUP($A43,[1]Hugst!$R$5:$W$9,MATCH(ROUNDUP((N$1)/10,0)*10,[1]Hugst!$R$4:$W$4,0))))</f>
        <v>70.364044356477635</v>
      </c>
      <c r="O43">
        <f ca="1">IF($C43-O$1&lt;År1,0,N42*(1-VLOOKUP($A43,[1]Hugst!$R$5:$W$9,MATCH(ROUNDUP((O$1)/10,0)*10,[1]Hugst!$R$4:$W$4,0))))</f>
        <v>70.522430295208849</v>
      </c>
      <c r="P43">
        <f ca="1">IF($C43-P$1&lt;År1,0,O42*(1-VLOOKUP($A43,[1]Hugst!$R$5:$W$9,MATCH(ROUNDUP((P$1)/10,0)*10,[1]Hugst!$R$4:$W$4,0))))</f>
        <v>70.681612143180047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91.171018175622692</v>
      </c>
      <c r="G44">
        <f ca="1">IF($C44-G$1&lt;År1,0,F43*(1-VLOOKUP($A44,[1]Hugst!$R$5:$W$9,MATCH(ROUNDUP((G$1)/10,0)*10,[1]Hugst!$R$4:$W$4,0))))</f>
        <v>69.125136187275132</v>
      </c>
      <c r="H44">
        <f ca="1">IF($C44-H$1&lt;År1,0,G43*(1-VLOOKUP($A44,[1]Hugst!$R$5:$W$9,MATCH(ROUNDUP((H$1)/10,0)*10,[1]Hugst!$R$4:$W$4,0))))</f>
        <v>69.277296456813701</v>
      </c>
      <c r="I44">
        <f ca="1">IF($C44-I$1&lt;År1,0,H43*(1-VLOOKUP($A44,[1]Hugst!$R$5:$W$9,MATCH(ROUNDUP((I$1)/10,0)*10,[1]Hugst!$R$4:$W$4,0))))</f>
        <v>69.430221350823388</v>
      </c>
      <c r="J44">
        <f ca="1">IF($C44-J$1&lt;År1,0,I43*(1-VLOOKUP($A44,[1]Hugst!$R$5:$W$9,MATCH(ROUNDUP((J$1)/10,0)*10,[1]Hugst!$R$4:$W$4,0))))</f>
        <v>69.583914711636112</v>
      </c>
      <c r="K44">
        <f ca="1">IF($C44-K$1&lt;År1,0,J43*(1-VLOOKUP($A44,[1]Hugst!$R$5:$W$9,MATCH(ROUNDUP((K$1)/10,0)*10,[1]Hugst!$R$4:$W$4,0))))</f>
        <v>69.73838040089737</v>
      </c>
      <c r="L44">
        <f ca="1">IF($C44-L$1&lt;År1,0,K43*(1-VLOOKUP($A44,[1]Hugst!$R$5:$W$9,MATCH(ROUNDUP((L$1)/10,0)*10,[1]Hugst!$R$4:$W$4,0))))</f>
        <v>69.893622299649508</v>
      </c>
      <c r="M44">
        <f ca="1">IF($C44-M$1&lt;År1,0,L43*(1-VLOOKUP($A44,[1]Hugst!$R$5:$W$9,MATCH(ROUNDUP((M$1)/10,0)*10,[1]Hugst!$R$4:$W$4,0))))</f>
        <v>70.049644308447569</v>
      </c>
      <c r="N44">
        <f ca="1">IF($C44-N$1&lt;År1,0,M43*(1-VLOOKUP($A44,[1]Hugst!$R$5:$W$9,MATCH(ROUNDUP((N$1)/10,0)*10,[1]Hugst!$R$4:$W$4,0))))</f>
        <v>70.206450347439187</v>
      </c>
      <c r="O44">
        <f ca="1">IF($C44-O$1&lt;År1,0,N43*(1-VLOOKUP($A44,[1]Hugst!$R$5:$W$9,MATCH(ROUNDUP((O$1)/10,0)*10,[1]Hugst!$R$4:$W$4,0))))</f>
        <v>70.364044356477635</v>
      </c>
      <c r="P44">
        <f ca="1">IF($C44-P$1&lt;År1,0,O43*(1-VLOOKUP($A44,[1]Hugst!$R$5:$W$9,MATCH(ROUNDUP((P$1)/10,0)*10,[1]Hugst!$R$4:$W$4,0))))</f>
        <v>70.522430295208849</v>
      </c>
      <c r="Q44">
        <f ca="1">IF($C44-Q$1&lt;År1,0,P43*(1-VLOOKUP($A44,[1]Hugst!$R$5:$W$9,MATCH(ROUNDUP((Q$1)/10,0)*10,[1]Hugst!$R$4:$W$4,0))))</f>
        <v>70.681612143180047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91.02037570477313</v>
      </c>
      <c r="G45">
        <f ca="1">IF($C45-G$1&lt;År1,0,F44*(1-VLOOKUP($A45,[1]Hugst!$R$5:$W$9,MATCH(ROUNDUP((G$1)/10,0)*10,[1]Hugst!$R$4:$W$4,0))))</f>
        <v>91.171018175622692</v>
      </c>
      <c r="H45">
        <f ca="1">IF($C45-H$1&lt;År1,0,G44*(1-VLOOKUP($A45,[1]Hugst!$R$5:$W$9,MATCH(ROUNDUP((H$1)/10,0)*10,[1]Hugst!$R$4:$W$4,0))))</f>
        <v>69.125136187275132</v>
      </c>
      <c r="I45">
        <f ca="1">IF($C45-I$1&lt;År1,0,H44*(1-VLOOKUP($A45,[1]Hugst!$R$5:$W$9,MATCH(ROUNDUP((I$1)/10,0)*10,[1]Hugst!$R$4:$W$4,0))))</f>
        <v>69.277296456813701</v>
      </c>
      <c r="J45">
        <f ca="1">IF($C45-J$1&lt;År1,0,I44*(1-VLOOKUP($A45,[1]Hugst!$R$5:$W$9,MATCH(ROUNDUP((J$1)/10,0)*10,[1]Hugst!$R$4:$W$4,0))))</f>
        <v>69.430221350823388</v>
      </c>
      <c r="K45">
        <f ca="1">IF($C45-K$1&lt;År1,0,J44*(1-VLOOKUP($A45,[1]Hugst!$R$5:$W$9,MATCH(ROUNDUP((K$1)/10,0)*10,[1]Hugst!$R$4:$W$4,0))))</f>
        <v>69.583914711636112</v>
      </c>
      <c r="L45">
        <f ca="1">IF($C45-L$1&lt;År1,0,K44*(1-VLOOKUP($A45,[1]Hugst!$R$5:$W$9,MATCH(ROUNDUP((L$1)/10,0)*10,[1]Hugst!$R$4:$W$4,0))))</f>
        <v>69.73838040089737</v>
      </c>
      <c r="M45">
        <f ca="1">IF($C45-M$1&lt;År1,0,L44*(1-VLOOKUP($A45,[1]Hugst!$R$5:$W$9,MATCH(ROUNDUP((M$1)/10,0)*10,[1]Hugst!$R$4:$W$4,0))))</f>
        <v>69.893622299649508</v>
      </c>
      <c r="N45">
        <f ca="1">IF($C45-N$1&lt;År1,0,M44*(1-VLOOKUP($A45,[1]Hugst!$R$5:$W$9,MATCH(ROUNDUP((N$1)/10,0)*10,[1]Hugst!$R$4:$W$4,0))))</f>
        <v>70.049644308447569</v>
      </c>
      <c r="O45">
        <f ca="1">IF($C45-O$1&lt;År1,0,N44*(1-VLOOKUP($A45,[1]Hugst!$R$5:$W$9,MATCH(ROUNDUP((O$1)/10,0)*10,[1]Hugst!$R$4:$W$4,0))))</f>
        <v>70.206450347439187</v>
      </c>
      <c r="P45">
        <f ca="1">IF($C45-P$1&lt;År1,0,O44*(1-VLOOKUP($A45,[1]Hugst!$R$5:$W$9,MATCH(ROUNDUP((P$1)/10,0)*10,[1]Hugst!$R$4:$W$4,0))))</f>
        <v>70.364044356477635</v>
      </c>
      <c r="Q45">
        <f ca="1">IF($C45-Q$1&lt;År1,0,P44*(1-VLOOKUP($A45,[1]Hugst!$R$5:$W$9,MATCH(ROUNDUP((Q$1)/10,0)*10,[1]Hugst!$R$4:$W$4,0))))</f>
        <v>70.522430295208849</v>
      </c>
      <c r="R45">
        <f ca="1">IF($C45-R$1&lt;År1,0,Q44*(1-VLOOKUP($A45,[1]Hugst!$R$5:$W$9,MATCH(ROUNDUP((R$1)/10,0)*10,[1]Hugst!$R$4:$W$4,0))))</f>
        <v>70.681612143180047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90.870486446276232</v>
      </c>
      <c r="G46">
        <f ca="1">IF($C46-G$1&lt;År1,0,F45*(1-VLOOKUP($A46,[1]Hugst!$R$5:$W$9,MATCH(ROUNDUP((G$1)/10,0)*10,[1]Hugst!$R$4:$W$4,0))))</f>
        <v>91.02037570477313</v>
      </c>
      <c r="H46">
        <f ca="1">IF($C46-H$1&lt;År1,0,G45*(1-VLOOKUP($A46,[1]Hugst!$R$5:$W$9,MATCH(ROUNDUP((H$1)/10,0)*10,[1]Hugst!$R$4:$W$4,0))))</f>
        <v>91.171018175622692</v>
      </c>
      <c r="I46">
        <f ca="1">IF($C46-I$1&lt;År1,0,H45*(1-VLOOKUP($A46,[1]Hugst!$R$5:$W$9,MATCH(ROUNDUP((I$1)/10,0)*10,[1]Hugst!$R$4:$W$4,0))))</f>
        <v>69.125136187275132</v>
      </c>
      <c r="J46">
        <f ca="1">IF($C46-J$1&lt;År1,0,I45*(1-VLOOKUP($A46,[1]Hugst!$R$5:$W$9,MATCH(ROUNDUP((J$1)/10,0)*10,[1]Hugst!$R$4:$W$4,0))))</f>
        <v>69.277296456813701</v>
      </c>
      <c r="K46">
        <f ca="1">IF($C46-K$1&lt;År1,0,J45*(1-VLOOKUP($A46,[1]Hugst!$R$5:$W$9,MATCH(ROUNDUP((K$1)/10,0)*10,[1]Hugst!$R$4:$W$4,0))))</f>
        <v>69.430221350823388</v>
      </c>
      <c r="L46">
        <f ca="1">IF($C46-L$1&lt;År1,0,K45*(1-VLOOKUP($A46,[1]Hugst!$R$5:$W$9,MATCH(ROUNDUP((L$1)/10,0)*10,[1]Hugst!$R$4:$W$4,0))))</f>
        <v>69.583914711636112</v>
      </c>
      <c r="M46">
        <f ca="1">IF($C46-M$1&lt;År1,0,L45*(1-VLOOKUP($A46,[1]Hugst!$R$5:$W$9,MATCH(ROUNDUP((M$1)/10,0)*10,[1]Hugst!$R$4:$W$4,0))))</f>
        <v>69.73838040089737</v>
      </c>
      <c r="N46">
        <f ca="1">IF($C46-N$1&lt;År1,0,M45*(1-VLOOKUP($A46,[1]Hugst!$R$5:$W$9,MATCH(ROUNDUP((N$1)/10,0)*10,[1]Hugst!$R$4:$W$4,0))))</f>
        <v>69.893622299649508</v>
      </c>
      <c r="O46">
        <f ca="1">IF($C46-O$1&lt;År1,0,N45*(1-VLOOKUP($A46,[1]Hugst!$R$5:$W$9,MATCH(ROUNDUP((O$1)/10,0)*10,[1]Hugst!$R$4:$W$4,0))))</f>
        <v>70.049644308447569</v>
      </c>
      <c r="P46">
        <f ca="1">IF($C46-P$1&lt;År1,0,O45*(1-VLOOKUP($A46,[1]Hugst!$R$5:$W$9,MATCH(ROUNDUP((P$1)/10,0)*10,[1]Hugst!$R$4:$W$4,0))))</f>
        <v>70.206450347439187</v>
      </c>
      <c r="Q46">
        <f ca="1">IF($C46-Q$1&lt;År1,0,P45*(1-VLOOKUP($A46,[1]Hugst!$R$5:$W$9,MATCH(ROUNDUP((Q$1)/10,0)*10,[1]Hugst!$R$4:$W$4,0))))</f>
        <v>70.364044356477635</v>
      </c>
      <c r="R46">
        <f ca="1">IF($C46-R$1&lt;År1,0,Q45*(1-VLOOKUP($A46,[1]Hugst!$R$5:$W$9,MATCH(ROUNDUP((R$1)/10,0)*10,[1]Hugst!$R$4:$W$4,0))))</f>
        <v>70.522430295208849</v>
      </c>
      <c r="S46">
        <f ca="1">IF($C46-S$1&lt;År1,0,R45*(1-VLOOKUP($A46,[1]Hugst!$R$5:$W$9,MATCH(ROUNDUP((S$1)/10,0)*10,[1]Hugst!$R$4:$W$4,0))))</f>
        <v>70.681612143180047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90.721346634072461</v>
      </c>
      <c r="G47">
        <f ca="1">IF($C47-G$1&lt;År1,0,F46*(1-VLOOKUP($A47,[1]Hugst!$R$5:$W$9,MATCH(ROUNDUP((G$1)/10,0)*10,[1]Hugst!$R$4:$W$4,0))))</f>
        <v>90.870486446276232</v>
      </c>
      <c r="H47">
        <f ca="1">IF($C47-H$1&lt;År1,0,G46*(1-VLOOKUP($A47,[1]Hugst!$R$5:$W$9,MATCH(ROUNDUP((H$1)/10,0)*10,[1]Hugst!$R$4:$W$4,0))))</f>
        <v>91.02037570477313</v>
      </c>
      <c r="I47">
        <f ca="1">IF($C47-I$1&lt;År1,0,H46*(1-VLOOKUP($A47,[1]Hugst!$R$5:$W$9,MATCH(ROUNDUP((I$1)/10,0)*10,[1]Hugst!$R$4:$W$4,0))))</f>
        <v>91.171018175622692</v>
      </c>
      <c r="J47">
        <f ca="1">IF($C47-J$1&lt;År1,0,I46*(1-VLOOKUP($A47,[1]Hugst!$R$5:$W$9,MATCH(ROUNDUP((J$1)/10,0)*10,[1]Hugst!$R$4:$W$4,0))))</f>
        <v>69.125136187275132</v>
      </c>
      <c r="K47">
        <f ca="1">IF($C47-K$1&lt;År1,0,J46*(1-VLOOKUP($A47,[1]Hugst!$R$5:$W$9,MATCH(ROUNDUP((K$1)/10,0)*10,[1]Hugst!$R$4:$W$4,0))))</f>
        <v>69.277296456813701</v>
      </c>
      <c r="L47">
        <f ca="1">IF($C47-L$1&lt;År1,0,K46*(1-VLOOKUP($A47,[1]Hugst!$R$5:$W$9,MATCH(ROUNDUP((L$1)/10,0)*10,[1]Hugst!$R$4:$W$4,0))))</f>
        <v>69.430221350823388</v>
      </c>
      <c r="M47">
        <f ca="1">IF($C47-M$1&lt;År1,0,L46*(1-VLOOKUP($A47,[1]Hugst!$R$5:$W$9,MATCH(ROUNDUP((M$1)/10,0)*10,[1]Hugst!$R$4:$W$4,0))))</f>
        <v>69.583914711636112</v>
      </c>
      <c r="N47">
        <f ca="1">IF($C47-N$1&lt;År1,0,M46*(1-VLOOKUP($A47,[1]Hugst!$R$5:$W$9,MATCH(ROUNDUP((N$1)/10,0)*10,[1]Hugst!$R$4:$W$4,0))))</f>
        <v>69.73838040089737</v>
      </c>
      <c r="O47">
        <f ca="1">IF($C47-O$1&lt;År1,0,N46*(1-VLOOKUP($A47,[1]Hugst!$R$5:$W$9,MATCH(ROUNDUP((O$1)/10,0)*10,[1]Hugst!$R$4:$W$4,0))))</f>
        <v>69.893622299649508</v>
      </c>
      <c r="P47">
        <f ca="1">IF($C47-P$1&lt;År1,0,O46*(1-VLOOKUP($A47,[1]Hugst!$R$5:$W$9,MATCH(ROUNDUP((P$1)/10,0)*10,[1]Hugst!$R$4:$W$4,0))))</f>
        <v>70.049644308447569</v>
      </c>
      <c r="Q47">
        <f ca="1">IF($C47-Q$1&lt;År1,0,P46*(1-VLOOKUP($A47,[1]Hugst!$R$5:$W$9,MATCH(ROUNDUP((Q$1)/10,0)*10,[1]Hugst!$R$4:$W$4,0))))</f>
        <v>70.206450347439187</v>
      </c>
      <c r="R47">
        <f ca="1">IF($C47-R$1&lt;År1,0,Q46*(1-VLOOKUP($A47,[1]Hugst!$R$5:$W$9,MATCH(ROUNDUP((R$1)/10,0)*10,[1]Hugst!$R$4:$W$4,0))))</f>
        <v>70.364044356477635</v>
      </c>
      <c r="S47">
        <f ca="1">IF($C47-S$1&lt;År1,0,R46*(1-VLOOKUP($A47,[1]Hugst!$R$5:$W$9,MATCH(ROUNDUP((S$1)/10,0)*10,[1]Hugst!$R$4:$W$4,0))))</f>
        <v>70.522430295208849</v>
      </c>
      <c r="T47">
        <f ca="1">IF($C47-T$1&lt;År1,0,S46*(1-VLOOKUP($A47,[1]Hugst!$R$5:$W$9,MATCH(ROUNDUP((T$1)/10,0)*10,[1]Hugst!$R$4:$W$4,0))))</f>
        <v>70.681612143180047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90.572952520930073</v>
      </c>
      <c r="G48">
        <f ca="1">IF($C48-G$1&lt;År1,0,F47*(1-VLOOKUP($A48,[1]Hugst!$R$5:$W$9,MATCH(ROUNDUP((G$1)/10,0)*10,[1]Hugst!$R$4:$W$4,0))))</f>
        <v>90.721346634072461</v>
      </c>
      <c r="H48">
        <f ca="1">IF($C48-H$1&lt;År1,0,G47*(1-VLOOKUP($A48,[1]Hugst!$R$5:$W$9,MATCH(ROUNDUP((H$1)/10,0)*10,[1]Hugst!$R$4:$W$4,0))))</f>
        <v>90.870486446276232</v>
      </c>
      <c r="I48">
        <f ca="1">IF($C48-I$1&lt;År1,0,H47*(1-VLOOKUP($A48,[1]Hugst!$R$5:$W$9,MATCH(ROUNDUP((I$1)/10,0)*10,[1]Hugst!$R$4:$W$4,0))))</f>
        <v>91.02037570477313</v>
      </c>
      <c r="J48">
        <f ca="1">IF($C48-J$1&lt;År1,0,I47*(1-VLOOKUP($A48,[1]Hugst!$R$5:$W$9,MATCH(ROUNDUP((J$1)/10,0)*10,[1]Hugst!$R$4:$W$4,0))))</f>
        <v>91.171018175622692</v>
      </c>
      <c r="K48">
        <f ca="1">IF($C48-K$1&lt;År1,0,J47*(1-VLOOKUP($A48,[1]Hugst!$R$5:$W$9,MATCH(ROUNDUP((K$1)/10,0)*10,[1]Hugst!$R$4:$W$4,0))))</f>
        <v>69.125136187275132</v>
      </c>
      <c r="L48">
        <f ca="1">IF($C48-L$1&lt;År1,0,K47*(1-VLOOKUP($A48,[1]Hugst!$R$5:$W$9,MATCH(ROUNDUP((L$1)/10,0)*10,[1]Hugst!$R$4:$W$4,0))))</f>
        <v>69.277296456813701</v>
      </c>
      <c r="M48">
        <f ca="1">IF($C48-M$1&lt;År1,0,L47*(1-VLOOKUP($A48,[1]Hugst!$R$5:$W$9,MATCH(ROUNDUP((M$1)/10,0)*10,[1]Hugst!$R$4:$W$4,0))))</f>
        <v>69.430221350823388</v>
      </c>
      <c r="N48">
        <f ca="1">IF($C48-N$1&lt;År1,0,M47*(1-VLOOKUP($A48,[1]Hugst!$R$5:$W$9,MATCH(ROUNDUP((N$1)/10,0)*10,[1]Hugst!$R$4:$W$4,0))))</f>
        <v>69.583914711636112</v>
      </c>
      <c r="O48">
        <f ca="1">IF($C48-O$1&lt;År1,0,N47*(1-VLOOKUP($A48,[1]Hugst!$R$5:$W$9,MATCH(ROUNDUP((O$1)/10,0)*10,[1]Hugst!$R$4:$W$4,0))))</f>
        <v>69.73838040089737</v>
      </c>
      <c r="P48">
        <f ca="1">IF($C48-P$1&lt;År1,0,O47*(1-VLOOKUP($A48,[1]Hugst!$R$5:$W$9,MATCH(ROUNDUP((P$1)/10,0)*10,[1]Hugst!$R$4:$W$4,0))))</f>
        <v>69.893622299649508</v>
      </c>
      <c r="Q48">
        <f ca="1">IF($C48-Q$1&lt;År1,0,P47*(1-VLOOKUP($A48,[1]Hugst!$R$5:$W$9,MATCH(ROUNDUP((Q$1)/10,0)*10,[1]Hugst!$R$4:$W$4,0))))</f>
        <v>70.049644308447569</v>
      </c>
      <c r="R48">
        <f ca="1">IF($C48-R$1&lt;År1,0,Q47*(1-VLOOKUP($A48,[1]Hugst!$R$5:$W$9,MATCH(ROUNDUP((R$1)/10,0)*10,[1]Hugst!$R$4:$W$4,0))))</f>
        <v>70.206450347439187</v>
      </c>
      <c r="S48">
        <f ca="1">IF($C48-S$1&lt;År1,0,R47*(1-VLOOKUP($A48,[1]Hugst!$R$5:$W$9,MATCH(ROUNDUP((S$1)/10,0)*10,[1]Hugst!$R$4:$W$4,0))))</f>
        <v>70.364044356477635</v>
      </c>
      <c r="T48">
        <f ca="1">IF($C48-T$1&lt;År1,0,S47*(1-VLOOKUP($A48,[1]Hugst!$R$5:$W$9,MATCH(ROUNDUP((T$1)/10,0)*10,[1]Hugst!$R$4:$W$4,0))))</f>
        <v>70.522430295208849</v>
      </c>
      <c r="U48">
        <f ca="1">IF($C48-U$1&lt;År1,0,T47*(1-VLOOKUP($A48,[1]Hugst!$R$5:$W$9,MATCH(ROUNDUP((U$1)/10,0)*10,[1]Hugst!$R$4:$W$4,0))))</f>
        <v>70.681612143180047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90.425300378352233</v>
      </c>
      <c r="G49">
        <f ca="1">IF($C49-G$1&lt;År1,0,F48*(1-VLOOKUP($A49,[1]Hugst!$R$5:$W$9,MATCH(ROUNDUP((G$1)/10,0)*10,[1]Hugst!$R$4:$W$4,0))))</f>
        <v>90.572952520930073</v>
      </c>
      <c r="H49">
        <f ca="1">IF($C49-H$1&lt;År1,0,G48*(1-VLOOKUP($A49,[1]Hugst!$R$5:$W$9,MATCH(ROUNDUP((H$1)/10,0)*10,[1]Hugst!$R$4:$W$4,0))))</f>
        <v>90.721346634072461</v>
      </c>
      <c r="I49">
        <f ca="1">IF($C49-I$1&lt;År1,0,H48*(1-VLOOKUP($A49,[1]Hugst!$R$5:$W$9,MATCH(ROUNDUP((I$1)/10,0)*10,[1]Hugst!$R$4:$W$4,0))))</f>
        <v>90.870486446276232</v>
      </c>
      <c r="J49">
        <f ca="1">IF($C49-J$1&lt;År1,0,I48*(1-VLOOKUP($A49,[1]Hugst!$R$5:$W$9,MATCH(ROUNDUP((J$1)/10,0)*10,[1]Hugst!$R$4:$W$4,0))))</f>
        <v>91.02037570477313</v>
      </c>
      <c r="K49">
        <f ca="1">IF($C49-K$1&lt;År1,0,J48*(1-VLOOKUP($A49,[1]Hugst!$R$5:$W$9,MATCH(ROUNDUP((K$1)/10,0)*10,[1]Hugst!$R$4:$W$4,0))))</f>
        <v>91.171018175622692</v>
      </c>
      <c r="L49">
        <f ca="1">IF($C49-L$1&lt;År1,0,K48*(1-VLOOKUP($A49,[1]Hugst!$R$5:$W$9,MATCH(ROUNDUP((L$1)/10,0)*10,[1]Hugst!$R$4:$W$4,0))))</f>
        <v>69.125136187275132</v>
      </c>
      <c r="M49">
        <f ca="1">IF($C49-M$1&lt;År1,0,L48*(1-VLOOKUP($A49,[1]Hugst!$R$5:$W$9,MATCH(ROUNDUP((M$1)/10,0)*10,[1]Hugst!$R$4:$W$4,0))))</f>
        <v>69.277296456813701</v>
      </c>
      <c r="N49">
        <f ca="1">IF($C49-N$1&lt;År1,0,M48*(1-VLOOKUP($A49,[1]Hugst!$R$5:$W$9,MATCH(ROUNDUP((N$1)/10,0)*10,[1]Hugst!$R$4:$W$4,0))))</f>
        <v>69.430221350823388</v>
      </c>
      <c r="O49">
        <f ca="1">IF($C49-O$1&lt;År1,0,N48*(1-VLOOKUP($A49,[1]Hugst!$R$5:$W$9,MATCH(ROUNDUP((O$1)/10,0)*10,[1]Hugst!$R$4:$W$4,0))))</f>
        <v>69.583914711636112</v>
      </c>
      <c r="P49">
        <f ca="1">IF($C49-P$1&lt;År1,0,O48*(1-VLOOKUP($A49,[1]Hugst!$R$5:$W$9,MATCH(ROUNDUP((P$1)/10,0)*10,[1]Hugst!$R$4:$W$4,0))))</f>
        <v>69.73838040089737</v>
      </c>
      <c r="Q49">
        <f ca="1">IF($C49-Q$1&lt;År1,0,P48*(1-VLOOKUP($A49,[1]Hugst!$R$5:$W$9,MATCH(ROUNDUP((Q$1)/10,0)*10,[1]Hugst!$R$4:$W$4,0))))</f>
        <v>69.893622299649508</v>
      </c>
      <c r="R49">
        <f ca="1">IF($C49-R$1&lt;År1,0,Q48*(1-VLOOKUP($A49,[1]Hugst!$R$5:$W$9,MATCH(ROUNDUP((R$1)/10,0)*10,[1]Hugst!$R$4:$W$4,0))))</f>
        <v>70.049644308447569</v>
      </c>
      <c r="S49">
        <f ca="1">IF($C49-S$1&lt;År1,0,R48*(1-VLOOKUP($A49,[1]Hugst!$R$5:$W$9,MATCH(ROUNDUP((S$1)/10,0)*10,[1]Hugst!$R$4:$W$4,0))))</f>
        <v>70.206450347439187</v>
      </c>
      <c r="T49">
        <f ca="1">IF($C49-T$1&lt;År1,0,S48*(1-VLOOKUP($A49,[1]Hugst!$R$5:$W$9,MATCH(ROUNDUP((T$1)/10,0)*10,[1]Hugst!$R$4:$W$4,0))))</f>
        <v>70.364044356477635</v>
      </c>
      <c r="U49">
        <f ca="1">IF($C49-U$1&lt;År1,0,T48*(1-VLOOKUP($A49,[1]Hugst!$R$5:$W$9,MATCH(ROUNDUP((U$1)/10,0)*10,[1]Hugst!$R$4:$W$4,0))))</f>
        <v>70.522430295208849</v>
      </c>
      <c r="V49">
        <f ca="1">IF($C49-V$1&lt;År1,0,U48*(1-VLOOKUP($A49,[1]Hugst!$R$5:$W$9,MATCH(ROUNDUP((V$1)/10,0)*10,[1]Hugst!$R$4:$W$4,0))))</f>
        <v>70.681612143180047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90.278386496488167</v>
      </c>
      <c r="G50">
        <f ca="1">IF($C50-G$1&lt;År1,0,F49*(1-VLOOKUP($A50,[1]Hugst!$R$5:$W$9,MATCH(ROUNDUP((G$1)/10,0)*10,[1]Hugst!$R$4:$W$4,0))))</f>
        <v>90.425300378352233</v>
      </c>
      <c r="H50">
        <f ca="1">IF($C50-H$1&lt;År1,0,G49*(1-VLOOKUP($A50,[1]Hugst!$R$5:$W$9,MATCH(ROUNDUP((H$1)/10,0)*10,[1]Hugst!$R$4:$W$4,0))))</f>
        <v>90.572952520930073</v>
      </c>
      <c r="I50">
        <f ca="1">IF($C50-I$1&lt;År1,0,H49*(1-VLOOKUP($A50,[1]Hugst!$R$5:$W$9,MATCH(ROUNDUP((I$1)/10,0)*10,[1]Hugst!$R$4:$W$4,0))))</f>
        <v>90.721346634072461</v>
      </c>
      <c r="J50">
        <f ca="1">IF($C50-J$1&lt;År1,0,I49*(1-VLOOKUP($A50,[1]Hugst!$R$5:$W$9,MATCH(ROUNDUP((J$1)/10,0)*10,[1]Hugst!$R$4:$W$4,0))))</f>
        <v>90.870486446276232</v>
      </c>
      <c r="K50">
        <f ca="1">IF($C50-K$1&lt;År1,0,J49*(1-VLOOKUP($A50,[1]Hugst!$R$5:$W$9,MATCH(ROUNDUP((K$1)/10,0)*10,[1]Hugst!$R$4:$W$4,0))))</f>
        <v>91.02037570477313</v>
      </c>
      <c r="L50">
        <f ca="1">IF($C50-L$1&lt;År1,0,K49*(1-VLOOKUP($A50,[1]Hugst!$R$5:$W$9,MATCH(ROUNDUP((L$1)/10,0)*10,[1]Hugst!$R$4:$W$4,0))))</f>
        <v>91.171018175622692</v>
      </c>
      <c r="M50">
        <f ca="1">IF($C50-M$1&lt;År1,0,L49*(1-VLOOKUP($A50,[1]Hugst!$R$5:$W$9,MATCH(ROUNDUP((M$1)/10,0)*10,[1]Hugst!$R$4:$W$4,0))))</f>
        <v>69.125136187275132</v>
      </c>
      <c r="N50">
        <f ca="1">IF($C50-N$1&lt;År1,0,M49*(1-VLOOKUP($A50,[1]Hugst!$R$5:$W$9,MATCH(ROUNDUP((N$1)/10,0)*10,[1]Hugst!$R$4:$W$4,0))))</f>
        <v>69.277296456813701</v>
      </c>
      <c r="O50">
        <f ca="1">IF($C50-O$1&lt;År1,0,N49*(1-VLOOKUP($A50,[1]Hugst!$R$5:$W$9,MATCH(ROUNDUP((O$1)/10,0)*10,[1]Hugst!$R$4:$W$4,0))))</f>
        <v>69.430221350823388</v>
      </c>
      <c r="P50">
        <f ca="1">IF($C50-P$1&lt;År1,0,O49*(1-VLOOKUP($A50,[1]Hugst!$R$5:$W$9,MATCH(ROUNDUP((P$1)/10,0)*10,[1]Hugst!$R$4:$W$4,0))))</f>
        <v>69.583914711636112</v>
      </c>
      <c r="Q50">
        <f ca="1">IF($C50-Q$1&lt;År1,0,P49*(1-VLOOKUP($A50,[1]Hugst!$R$5:$W$9,MATCH(ROUNDUP((Q$1)/10,0)*10,[1]Hugst!$R$4:$W$4,0))))</f>
        <v>69.73838040089737</v>
      </c>
      <c r="R50">
        <f ca="1">IF($C50-R$1&lt;År1,0,Q49*(1-VLOOKUP($A50,[1]Hugst!$R$5:$W$9,MATCH(ROUNDUP((R$1)/10,0)*10,[1]Hugst!$R$4:$W$4,0))))</f>
        <v>69.893622299649508</v>
      </c>
      <c r="S50">
        <f ca="1">IF($C50-S$1&lt;År1,0,R49*(1-VLOOKUP($A50,[1]Hugst!$R$5:$W$9,MATCH(ROUNDUP((S$1)/10,0)*10,[1]Hugst!$R$4:$W$4,0))))</f>
        <v>70.049644308447569</v>
      </c>
      <c r="T50">
        <f ca="1">IF($C50-T$1&lt;År1,0,S49*(1-VLOOKUP($A50,[1]Hugst!$R$5:$W$9,MATCH(ROUNDUP((T$1)/10,0)*10,[1]Hugst!$R$4:$W$4,0))))</f>
        <v>70.206450347439187</v>
      </c>
      <c r="U50">
        <f ca="1">IF($C50-U$1&lt;År1,0,T49*(1-VLOOKUP($A50,[1]Hugst!$R$5:$W$9,MATCH(ROUNDUP((U$1)/10,0)*10,[1]Hugst!$R$4:$W$4,0))))</f>
        <v>70.364044356477635</v>
      </c>
      <c r="V50">
        <f ca="1">IF($C50-V$1&lt;År1,0,U49*(1-VLOOKUP($A50,[1]Hugst!$R$5:$W$9,MATCH(ROUNDUP((V$1)/10,0)*10,[1]Hugst!$R$4:$W$4,0))))</f>
        <v>70.522430295208849</v>
      </c>
      <c r="W50">
        <f ca="1">IF($C50-W$1&lt;År1,0,V49*(1-VLOOKUP($A50,[1]Hugst!$R$5:$W$9,MATCH(ROUNDUP((W$1)/10,0)*10,[1]Hugst!$R$4:$W$4,0))))</f>
        <v>70.681612143180047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90.132207184033689</v>
      </c>
      <c r="G51">
        <f ca="1">IF($C51-G$1&lt;År1,0,F50*(1-VLOOKUP($A51,[1]Hugst!$R$5:$W$9,MATCH(ROUNDUP((G$1)/10,0)*10,[1]Hugst!$R$4:$W$4,0))))</f>
        <v>90.278386496488167</v>
      </c>
      <c r="H51">
        <f ca="1">IF($C51-H$1&lt;År1,0,G50*(1-VLOOKUP($A51,[1]Hugst!$R$5:$W$9,MATCH(ROUNDUP((H$1)/10,0)*10,[1]Hugst!$R$4:$W$4,0))))</f>
        <v>90.425300378352233</v>
      </c>
      <c r="I51">
        <f ca="1">IF($C51-I$1&lt;År1,0,H50*(1-VLOOKUP($A51,[1]Hugst!$R$5:$W$9,MATCH(ROUNDUP((I$1)/10,0)*10,[1]Hugst!$R$4:$W$4,0))))</f>
        <v>90.572952520930073</v>
      </c>
      <c r="J51">
        <f ca="1">IF($C51-J$1&lt;År1,0,I50*(1-VLOOKUP($A51,[1]Hugst!$R$5:$W$9,MATCH(ROUNDUP((J$1)/10,0)*10,[1]Hugst!$R$4:$W$4,0))))</f>
        <v>90.721346634072461</v>
      </c>
      <c r="K51">
        <f ca="1">IF($C51-K$1&lt;År1,0,J50*(1-VLOOKUP($A51,[1]Hugst!$R$5:$W$9,MATCH(ROUNDUP((K$1)/10,0)*10,[1]Hugst!$R$4:$W$4,0))))</f>
        <v>90.870486446276232</v>
      </c>
      <c r="L51">
        <f ca="1">IF($C51-L$1&lt;År1,0,K50*(1-VLOOKUP($A51,[1]Hugst!$R$5:$W$9,MATCH(ROUNDUP((L$1)/10,0)*10,[1]Hugst!$R$4:$W$4,0))))</f>
        <v>91.02037570477313</v>
      </c>
      <c r="M51">
        <f ca="1">IF($C51-M$1&lt;År1,0,L50*(1-VLOOKUP($A51,[1]Hugst!$R$5:$W$9,MATCH(ROUNDUP((M$1)/10,0)*10,[1]Hugst!$R$4:$W$4,0))))</f>
        <v>91.171018175622692</v>
      </c>
      <c r="N51">
        <f ca="1">IF($C51-N$1&lt;År1,0,M50*(1-VLOOKUP($A51,[1]Hugst!$R$5:$W$9,MATCH(ROUNDUP((N$1)/10,0)*10,[1]Hugst!$R$4:$W$4,0))))</f>
        <v>69.125136187275132</v>
      </c>
      <c r="O51">
        <f ca="1">IF($C51-O$1&lt;År1,0,N50*(1-VLOOKUP($A51,[1]Hugst!$R$5:$W$9,MATCH(ROUNDUP((O$1)/10,0)*10,[1]Hugst!$R$4:$W$4,0))))</f>
        <v>69.277296456813701</v>
      </c>
      <c r="P51">
        <f ca="1">IF($C51-P$1&lt;År1,0,O50*(1-VLOOKUP($A51,[1]Hugst!$R$5:$W$9,MATCH(ROUNDUP((P$1)/10,0)*10,[1]Hugst!$R$4:$W$4,0))))</f>
        <v>69.430221350823388</v>
      </c>
      <c r="Q51">
        <f ca="1">IF($C51-Q$1&lt;År1,0,P50*(1-VLOOKUP($A51,[1]Hugst!$R$5:$W$9,MATCH(ROUNDUP((Q$1)/10,0)*10,[1]Hugst!$R$4:$W$4,0))))</f>
        <v>69.583914711636112</v>
      </c>
      <c r="R51">
        <f ca="1">IF($C51-R$1&lt;År1,0,Q50*(1-VLOOKUP($A51,[1]Hugst!$R$5:$W$9,MATCH(ROUNDUP((R$1)/10,0)*10,[1]Hugst!$R$4:$W$4,0))))</f>
        <v>69.73838040089737</v>
      </c>
      <c r="S51">
        <f ca="1">IF($C51-S$1&lt;År1,0,R50*(1-VLOOKUP($A51,[1]Hugst!$R$5:$W$9,MATCH(ROUNDUP((S$1)/10,0)*10,[1]Hugst!$R$4:$W$4,0))))</f>
        <v>69.893622299649508</v>
      </c>
      <c r="T51">
        <f ca="1">IF($C51-T$1&lt;År1,0,S50*(1-VLOOKUP($A51,[1]Hugst!$R$5:$W$9,MATCH(ROUNDUP((T$1)/10,0)*10,[1]Hugst!$R$4:$W$4,0))))</f>
        <v>70.049644308447569</v>
      </c>
      <c r="U51">
        <f ca="1">IF($C51-U$1&lt;År1,0,T50*(1-VLOOKUP($A51,[1]Hugst!$R$5:$W$9,MATCH(ROUNDUP((U$1)/10,0)*10,[1]Hugst!$R$4:$W$4,0))))</f>
        <v>70.206450347439187</v>
      </c>
      <c r="V51">
        <f ca="1">IF($C51-V$1&lt;År1,0,U50*(1-VLOOKUP($A51,[1]Hugst!$R$5:$W$9,MATCH(ROUNDUP((V$1)/10,0)*10,[1]Hugst!$R$4:$W$4,0))))</f>
        <v>70.364044356477635</v>
      </c>
      <c r="W51">
        <f ca="1">IF($C51-W$1&lt;År1,0,V50*(1-VLOOKUP($A51,[1]Hugst!$R$5:$W$9,MATCH(ROUNDUP((W$1)/10,0)*10,[1]Hugst!$R$4:$W$4,0))))</f>
        <v>70.522430295208849</v>
      </c>
      <c r="X51">
        <f ca="1">IF($C51-X$1&lt;År1,0,W50*(1-VLOOKUP($A51,[1]Hugst!$R$5:$W$9,MATCH(ROUNDUP((X$1)/10,0)*10,[1]Hugst!$R$4:$W$4,0))))</f>
        <v>70.681612143180047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89.98675876813985</v>
      </c>
      <c r="G52">
        <f ca="1">IF($C52-G$1&lt;År1,0,F51*(1-VLOOKUP($A52,[1]Hugst!$R$5:$W$9,MATCH(ROUNDUP((G$1)/10,0)*10,[1]Hugst!$R$4:$W$4,0))))</f>
        <v>90.132207184033689</v>
      </c>
      <c r="H52">
        <f ca="1">IF($C52-H$1&lt;År1,0,G51*(1-VLOOKUP($A52,[1]Hugst!$R$5:$W$9,MATCH(ROUNDUP((H$1)/10,0)*10,[1]Hugst!$R$4:$W$4,0))))</f>
        <v>90.278386496488167</v>
      </c>
      <c r="I52">
        <f ca="1">IF($C52-I$1&lt;År1,0,H51*(1-VLOOKUP($A52,[1]Hugst!$R$5:$W$9,MATCH(ROUNDUP((I$1)/10,0)*10,[1]Hugst!$R$4:$W$4,0))))</f>
        <v>90.425300378352233</v>
      </c>
      <c r="J52">
        <f ca="1">IF($C52-J$1&lt;År1,0,I51*(1-VLOOKUP($A52,[1]Hugst!$R$5:$W$9,MATCH(ROUNDUP((J$1)/10,0)*10,[1]Hugst!$R$4:$W$4,0))))</f>
        <v>90.572952520930073</v>
      </c>
      <c r="K52">
        <f ca="1">IF($C52-K$1&lt;År1,0,J51*(1-VLOOKUP($A52,[1]Hugst!$R$5:$W$9,MATCH(ROUNDUP((K$1)/10,0)*10,[1]Hugst!$R$4:$W$4,0))))</f>
        <v>90.721346634072461</v>
      </c>
      <c r="L52">
        <f ca="1">IF($C52-L$1&lt;År1,0,K51*(1-VLOOKUP($A52,[1]Hugst!$R$5:$W$9,MATCH(ROUNDUP((L$1)/10,0)*10,[1]Hugst!$R$4:$W$4,0))))</f>
        <v>90.870486446276232</v>
      </c>
      <c r="M52">
        <f ca="1">IF($C52-M$1&lt;År1,0,L51*(1-VLOOKUP($A52,[1]Hugst!$R$5:$W$9,MATCH(ROUNDUP((M$1)/10,0)*10,[1]Hugst!$R$4:$W$4,0))))</f>
        <v>91.02037570477313</v>
      </c>
      <c r="N52">
        <f ca="1">IF($C52-N$1&lt;År1,0,M51*(1-VLOOKUP($A52,[1]Hugst!$R$5:$W$9,MATCH(ROUNDUP((N$1)/10,0)*10,[1]Hugst!$R$4:$W$4,0))))</f>
        <v>91.171018175622692</v>
      </c>
      <c r="O52">
        <f ca="1">IF($C52-O$1&lt;År1,0,N51*(1-VLOOKUP($A52,[1]Hugst!$R$5:$W$9,MATCH(ROUNDUP((O$1)/10,0)*10,[1]Hugst!$R$4:$W$4,0))))</f>
        <v>69.125136187275132</v>
      </c>
      <c r="P52">
        <f ca="1">IF($C52-P$1&lt;År1,0,O51*(1-VLOOKUP($A52,[1]Hugst!$R$5:$W$9,MATCH(ROUNDUP((P$1)/10,0)*10,[1]Hugst!$R$4:$W$4,0))))</f>
        <v>69.277296456813701</v>
      </c>
      <c r="Q52">
        <f ca="1">IF($C52-Q$1&lt;År1,0,P51*(1-VLOOKUP($A52,[1]Hugst!$R$5:$W$9,MATCH(ROUNDUP((Q$1)/10,0)*10,[1]Hugst!$R$4:$W$4,0))))</f>
        <v>69.430221350823388</v>
      </c>
      <c r="R52">
        <f ca="1">IF($C52-R$1&lt;År1,0,Q51*(1-VLOOKUP($A52,[1]Hugst!$R$5:$W$9,MATCH(ROUNDUP((R$1)/10,0)*10,[1]Hugst!$R$4:$W$4,0))))</f>
        <v>69.583914711636112</v>
      </c>
      <c r="S52">
        <f ca="1">IF($C52-S$1&lt;År1,0,R51*(1-VLOOKUP($A52,[1]Hugst!$R$5:$W$9,MATCH(ROUNDUP((S$1)/10,0)*10,[1]Hugst!$R$4:$W$4,0))))</f>
        <v>69.73838040089737</v>
      </c>
      <c r="T52">
        <f ca="1">IF($C52-T$1&lt;År1,0,S51*(1-VLOOKUP($A52,[1]Hugst!$R$5:$W$9,MATCH(ROUNDUP((T$1)/10,0)*10,[1]Hugst!$R$4:$W$4,0))))</f>
        <v>69.893622299649508</v>
      </c>
      <c r="U52">
        <f ca="1">IF($C52-U$1&lt;År1,0,T51*(1-VLOOKUP($A52,[1]Hugst!$R$5:$W$9,MATCH(ROUNDUP((U$1)/10,0)*10,[1]Hugst!$R$4:$W$4,0))))</f>
        <v>70.049644308447569</v>
      </c>
      <c r="V52">
        <f ca="1">IF($C52-V$1&lt;År1,0,U51*(1-VLOOKUP($A52,[1]Hugst!$R$5:$W$9,MATCH(ROUNDUP((V$1)/10,0)*10,[1]Hugst!$R$4:$W$4,0))))</f>
        <v>70.206450347439187</v>
      </c>
      <c r="W52">
        <f ca="1">IF($C52-W$1&lt;År1,0,V51*(1-VLOOKUP($A52,[1]Hugst!$R$5:$W$9,MATCH(ROUNDUP((W$1)/10,0)*10,[1]Hugst!$R$4:$W$4,0))))</f>
        <v>70.364044356477635</v>
      </c>
      <c r="X52">
        <f ca="1">IF($C52-X$1&lt;År1,0,W51*(1-VLOOKUP($A52,[1]Hugst!$R$5:$W$9,MATCH(ROUNDUP((X$1)/10,0)*10,[1]Hugst!$R$4:$W$4,0))))</f>
        <v>70.522430295208849</v>
      </c>
      <c r="Y52">
        <f ca="1">IF($C52-Y$1&lt;År1,0,X51*(1-VLOOKUP($A52,[1]Hugst!$R$5:$W$9,MATCH(ROUNDUP((Y$1)/10,0)*10,[1]Hugst!$R$4:$W$4,0))))</f>
        <v>70.681612143180047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89.842037594326996</v>
      </c>
      <c r="G53">
        <f ca="1">IF($C53-G$1&lt;År1,0,F52*(1-VLOOKUP($A53,[1]Hugst!$R$5:$W$9,MATCH(ROUNDUP((G$1)/10,0)*10,[1]Hugst!$R$4:$W$4,0))))</f>
        <v>89.98675876813985</v>
      </c>
      <c r="H53">
        <f ca="1">IF($C53-H$1&lt;År1,0,G52*(1-VLOOKUP($A53,[1]Hugst!$R$5:$W$9,MATCH(ROUNDUP((H$1)/10,0)*10,[1]Hugst!$R$4:$W$4,0))))</f>
        <v>90.132207184033689</v>
      </c>
      <c r="I53">
        <f ca="1">IF($C53-I$1&lt;År1,0,H52*(1-VLOOKUP($A53,[1]Hugst!$R$5:$W$9,MATCH(ROUNDUP((I$1)/10,0)*10,[1]Hugst!$R$4:$W$4,0))))</f>
        <v>90.278386496488167</v>
      </c>
      <c r="J53">
        <f ca="1">IF($C53-J$1&lt;År1,0,I52*(1-VLOOKUP($A53,[1]Hugst!$R$5:$W$9,MATCH(ROUNDUP((J$1)/10,0)*10,[1]Hugst!$R$4:$W$4,0))))</f>
        <v>90.425300378352233</v>
      </c>
      <c r="K53">
        <f ca="1">IF($C53-K$1&lt;År1,0,J52*(1-VLOOKUP($A53,[1]Hugst!$R$5:$W$9,MATCH(ROUNDUP((K$1)/10,0)*10,[1]Hugst!$R$4:$W$4,0))))</f>
        <v>90.572952520930073</v>
      </c>
      <c r="L53">
        <f ca="1">IF($C53-L$1&lt;År1,0,K52*(1-VLOOKUP($A53,[1]Hugst!$R$5:$W$9,MATCH(ROUNDUP((L$1)/10,0)*10,[1]Hugst!$R$4:$W$4,0))))</f>
        <v>90.721346634072461</v>
      </c>
      <c r="M53">
        <f ca="1">IF($C53-M$1&lt;År1,0,L52*(1-VLOOKUP($A53,[1]Hugst!$R$5:$W$9,MATCH(ROUNDUP((M$1)/10,0)*10,[1]Hugst!$R$4:$W$4,0))))</f>
        <v>90.870486446276232</v>
      </c>
      <c r="N53">
        <f ca="1">IF($C53-N$1&lt;År1,0,M52*(1-VLOOKUP($A53,[1]Hugst!$R$5:$W$9,MATCH(ROUNDUP((N$1)/10,0)*10,[1]Hugst!$R$4:$W$4,0))))</f>
        <v>91.02037570477313</v>
      </c>
      <c r="O53">
        <f ca="1">IF($C53-O$1&lt;År1,0,N52*(1-VLOOKUP($A53,[1]Hugst!$R$5:$W$9,MATCH(ROUNDUP((O$1)/10,0)*10,[1]Hugst!$R$4:$W$4,0))))</f>
        <v>91.171018175622692</v>
      </c>
      <c r="P53">
        <f ca="1">IF($C53-P$1&lt;År1,0,O52*(1-VLOOKUP($A53,[1]Hugst!$R$5:$W$9,MATCH(ROUNDUP((P$1)/10,0)*10,[1]Hugst!$R$4:$W$4,0))))</f>
        <v>69.125136187275132</v>
      </c>
      <c r="Q53">
        <f ca="1">IF($C53-Q$1&lt;År1,0,P52*(1-VLOOKUP($A53,[1]Hugst!$R$5:$W$9,MATCH(ROUNDUP((Q$1)/10,0)*10,[1]Hugst!$R$4:$W$4,0))))</f>
        <v>69.277296456813701</v>
      </c>
      <c r="R53">
        <f ca="1">IF($C53-R$1&lt;År1,0,Q52*(1-VLOOKUP($A53,[1]Hugst!$R$5:$W$9,MATCH(ROUNDUP((R$1)/10,0)*10,[1]Hugst!$R$4:$W$4,0))))</f>
        <v>69.430221350823388</v>
      </c>
      <c r="S53">
        <f ca="1">IF($C53-S$1&lt;År1,0,R52*(1-VLOOKUP($A53,[1]Hugst!$R$5:$W$9,MATCH(ROUNDUP((S$1)/10,0)*10,[1]Hugst!$R$4:$W$4,0))))</f>
        <v>69.583914711636112</v>
      </c>
      <c r="T53">
        <f ca="1">IF($C53-T$1&lt;År1,0,S52*(1-VLOOKUP($A53,[1]Hugst!$R$5:$W$9,MATCH(ROUNDUP((T$1)/10,0)*10,[1]Hugst!$R$4:$W$4,0))))</f>
        <v>69.73838040089737</v>
      </c>
      <c r="U53">
        <f ca="1">IF($C53-U$1&lt;År1,0,T52*(1-VLOOKUP($A53,[1]Hugst!$R$5:$W$9,MATCH(ROUNDUP((U$1)/10,0)*10,[1]Hugst!$R$4:$W$4,0))))</f>
        <v>69.893622299649508</v>
      </c>
      <c r="V53">
        <f ca="1">IF($C53-V$1&lt;År1,0,U52*(1-VLOOKUP($A53,[1]Hugst!$R$5:$W$9,MATCH(ROUNDUP((V$1)/10,0)*10,[1]Hugst!$R$4:$W$4,0))))</f>
        <v>70.049644308447569</v>
      </c>
      <c r="W53">
        <f ca="1">IF($C53-W$1&lt;År1,0,V52*(1-VLOOKUP($A53,[1]Hugst!$R$5:$W$9,MATCH(ROUNDUP((W$1)/10,0)*10,[1]Hugst!$R$4:$W$4,0))))</f>
        <v>70.206450347439187</v>
      </c>
      <c r="X53">
        <f ca="1">IF($C53-X$1&lt;År1,0,W52*(1-VLOOKUP($A53,[1]Hugst!$R$5:$W$9,MATCH(ROUNDUP((X$1)/10,0)*10,[1]Hugst!$R$4:$W$4,0))))</f>
        <v>70.364044356477635</v>
      </c>
      <c r="Y53">
        <f ca="1">IF($C53-Y$1&lt;År1,0,X52*(1-VLOOKUP($A53,[1]Hugst!$R$5:$W$9,MATCH(ROUNDUP((Y$1)/10,0)*10,[1]Hugst!$R$4:$W$4,0))))</f>
        <v>70.522430295208849</v>
      </c>
      <c r="Z53">
        <f ca="1">IF($C53-Z$1&lt;År1,0,Y52*(1-VLOOKUP($A53,[1]Hugst!$R$5:$W$9,MATCH(ROUNDUP((Z$1)/10,0)*10,[1]Hugst!$R$4:$W$4,0))))</f>
        <v>70.681612143180047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89.698040026383126</v>
      </c>
      <c r="G54">
        <f ca="1">IF($C54-G$1&lt;År1,0,F53*(1-VLOOKUP($A54,[1]Hugst!$R$5:$W$9,MATCH(ROUNDUP((G$1)/10,0)*10,[1]Hugst!$R$4:$W$4,0))))</f>
        <v>89.842037594326996</v>
      </c>
      <c r="H54">
        <f ca="1">IF($C54-H$1&lt;År1,0,G53*(1-VLOOKUP($A54,[1]Hugst!$R$5:$W$9,MATCH(ROUNDUP((H$1)/10,0)*10,[1]Hugst!$R$4:$W$4,0))))</f>
        <v>89.98675876813985</v>
      </c>
      <c r="I54">
        <f ca="1">IF($C54-I$1&lt;År1,0,H53*(1-VLOOKUP($A54,[1]Hugst!$R$5:$W$9,MATCH(ROUNDUP((I$1)/10,0)*10,[1]Hugst!$R$4:$W$4,0))))</f>
        <v>90.132207184033689</v>
      </c>
      <c r="J54">
        <f ca="1">IF($C54-J$1&lt;År1,0,I53*(1-VLOOKUP($A54,[1]Hugst!$R$5:$W$9,MATCH(ROUNDUP((J$1)/10,0)*10,[1]Hugst!$R$4:$W$4,0))))</f>
        <v>90.278386496488167</v>
      </c>
      <c r="K54">
        <f ca="1">IF($C54-K$1&lt;År1,0,J53*(1-VLOOKUP($A54,[1]Hugst!$R$5:$W$9,MATCH(ROUNDUP((K$1)/10,0)*10,[1]Hugst!$R$4:$W$4,0))))</f>
        <v>90.425300378352233</v>
      </c>
      <c r="L54">
        <f ca="1">IF($C54-L$1&lt;År1,0,K53*(1-VLOOKUP($A54,[1]Hugst!$R$5:$W$9,MATCH(ROUNDUP((L$1)/10,0)*10,[1]Hugst!$R$4:$W$4,0))))</f>
        <v>90.572952520930073</v>
      </c>
      <c r="M54">
        <f ca="1">IF($C54-M$1&lt;År1,0,L53*(1-VLOOKUP($A54,[1]Hugst!$R$5:$W$9,MATCH(ROUNDUP((M$1)/10,0)*10,[1]Hugst!$R$4:$W$4,0))))</f>
        <v>90.721346634072461</v>
      </c>
      <c r="N54">
        <f ca="1">IF($C54-N$1&lt;År1,0,M53*(1-VLOOKUP($A54,[1]Hugst!$R$5:$W$9,MATCH(ROUNDUP((N$1)/10,0)*10,[1]Hugst!$R$4:$W$4,0))))</f>
        <v>90.870486446276232</v>
      </c>
      <c r="O54">
        <f ca="1">IF($C54-O$1&lt;År1,0,N53*(1-VLOOKUP($A54,[1]Hugst!$R$5:$W$9,MATCH(ROUNDUP((O$1)/10,0)*10,[1]Hugst!$R$4:$W$4,0))))</f>
        <v>91.02037570477313</v>
      </c>
      <c r="P54">
        <f ca="1">IF($C54-P$1&lt;År1,0,O53*(1-VLOOKUP($A54,[1]Hugst!$R$5:$W$9,MATCH(ROUNDUP((P$1)/10,0)*10,[1]Hugst!$R$4:$W$4,0))))</f>
        <v>91.171018175622692</v>
      </c>
      <c r="Q54">
        <f ca="1">IF($C54-Q$1&lt;År1,0,P53*(1-VLOOKUP($A54,[1]Hugst!$R$5:$W$9,MATCH(ROUNDUP((Q$1)/10,0)*10,[1]Hugst!$R$4:$W$4,0))))</f>
        <v>69.125136187275132</v>
      </c>
      <c r="R54">
        <f ca="1">IF($C54-R$1&lt;År1,0,Q53*(1-VLOOKUP($A54,[1]Hugst!$R$5:$W$9,MATCH(ROUNDUP((R$1)/10,0)*10,[1]Hugst!$R$4:$W$4,0))))</f>
        <v>69.277296456813701</v>
      </c>
      <c r="S54">
        <f ca="1">IF($C54-S$1&lt;År1,0,R53*(1-VLOOKUP($A54,[1]Hugst!$R$5:$W$9,MATCH(ROUNDUP((S$1)/10,0)*10,[1]Hugst!$R$4:$W$4,0))))</f>
        <v>69.430221350823388</v>
      </c>
      <c r="T54">
        <f ca="1">IF($C54-T$1&lt;År1,0,S53*(1-VLOOKUP($A54,[1]Hugst!$R$5:$W$9,MATCH(ROUNDUP((T$1)/10,0)*10,[1]Hugst!$R$4:$W$4,0))))</f>
        <v>69.583914711636112</v>
      </c>
      <c r="U54">
        <f ca="1">IF($C54-U$1&lt;År1,0,T53*(1-VLOOKUP($A54,[1]Hugst!$R$5:$W$9,MATCH(ROUNDUP((U$1)/10,0)*10,[1]Hugst!$R$4:$W$4,0))))</f>
        <v>69.73838040089737</v>
      </c>
      <c r="V54">
        <f ca="1">IF($C54-V$1&lt;År1,0,U53*(1-VLOOKUP($A54,[1]Hugst!$R$5:$W$9,MATCH(ROUNDUP((V$1)/10,0)*10,[1]Hugst!$R$4:$W$4,0))))</f>
        <v>69.893622299649508</v>
      </c>
      <c r="W54">
        <f ca="1">IF($C54-W$1&lt;År1,0,V53*(1-VLOOKUP($A54,[1]Hugst!$R$5:$W$9,MATCH(ROUNDUP((W$1)/10,0)*10,[1]Hugst!$R$4:$W$4,0))))</f>
        <v>70.049644308447569</v>
      </c>
      <c r="X54">
        <f ca="1">IF($C54-X$1&lt;År1,0,W53*(1-VLOOKUP($A54,[1]Hugst!$R$5:$W$9,MATCH(ROUNDUP((X$1)/10,0)*10,[1]Hugst!$R$4:$W$4,0))))</f>
        <v>70.206450347439187</v>
      </c>
      <c r="Y54">
        <f ca="1">IF($C54-Y$1&lt;År1,0,X53*(1-VLOOKUP($A54,[1]Hugst!$R$5:$W$9,MATCH(ROUNDUP((Y$1)/10,0)*10,[1]Hugst!$R$4:$W$4,0))))</f>
        <v>70.364044356477635</v>
      </c>
      <c r="Z54">
        <f ca="1">IF($C54-Z$1&lt;År1,0,Y53*(1-VLOOKUP($A54,[1]Hugst!$R$5:$W$9,MATCH(ROUNDUP((Z$1)/10,0)*10,[1]Hugst!$R$4:$W$4,0))))</f>
        <v>70.522430295208849</v>
      </c>
      <c r="AA54">
        <f ca="1">IF($C54-AA$1&lt;År1,0,Z53*(1-VLOOKUP($A54,[1]Hugst!$R$5:$W$9,MATCH(ROUNDUP((AA$1)/10,0)*10,[1]Hugst!$R$4:$W$4,0))))</f>
        <v>70.681612143180047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89.554762446278403</v>
      </c>
      <c r="G55">
        <f ca="1">IF($C55-G$1&lt;År1,0,F54*(1-VLOOKUP($A55,[1]Hugst!$R$5:$W$9,MATCH(ROUNDUP((G$1)/10,0)*10,[1]Hugst!$R$4:$W$4,0))))</f>
        <v>89.698040026383126</v>
      </c>
      <c r="H55">
        <f ca="1">IF($C55-H$1&lt;År1,0,G54*(1-VLOOKUP($A55,[1]Hugst!$R$5:$W$9,MATCH(ROUNDUP((H$1)/10,0)*10,[1]Hugst!$R$4:$W$4,0))))</f>
        <v>89.842037594326996</v>
      </c>
      <c r="I55">
        <f ca="1">IF($C55-I$1&lt;År1,0,H54*(1-VLOOKUP($A55,[1]Hugst!$R$5:$W$9,MATCH(ROUNDUP((I$1)/10,0)*10,[1]Hugst!$R$4:$W$4,0))))</f>
        <v>89.98675876813985</v>
      </c>
      <c r="J55">
        <f ca="1">IF($C55-J$1&lt;År1,0,I54*(1-VLOOKUP($A55,[1]Hugst!$R$5:$W$9,MATCH(ROUNDUP((J$1)/10,0)*10,[1]Hugst!$R$4:$W$4,0))))</f>
        <v>90.132207184033689</v>
      </c>
      <c r="K55">
        <f ca="1">IF($C55-K$1&lt;År1,0,J54*(1-VLOOKUP($A55,[1]Hugst!$R$5:$W$9,MATCH(ROUNDUP((K$1)/10,0)*10,[1]Hugst!$R$4:$W$4,0))))</f>
        <v>90.278386496488167</v>
      </c>
      <c r="L55">
        <f ca="1">IF($C55-L$1&lt;År1,0,K54*(1-VLOOKUP($A55,[1]Hugst!$R$5:$W$9,MATCH(ROUNDUP((L$1)/10,0)*10,[1]Hugst!$R$4:$W$4,0))))</f>
        <v>90.425300378352233</v>
      </c>
      <c r="M55">
        <f ca="1">IF($C55-M$1&lt;År1,0,L54*(1-VLOOKUP($A55,[1]Hugst!$R$5:$W$9,MATCH(ROUNDUP((M$1)/10,0)*10,[1]Hugst!$R$4:$W$4,0))))</f>
        <v>90.572952520930073</v>
      </c>
      <c r="N55">
        <f ca="1">IF($C55-N$1&lt;År1,0,M54*(1-VLOOKUP($A55,[1]Hugst!$R$5:$W$9,MATCH(ROUNDUP((N$1)/10,0)*10,[1]Hugst!$R$4:$W$4,0))))</f>
        <v>90.721346634072461</v>
      </c>
      <c r="O55">
        <f ca="1">IF($C55-O$1&lt;År1,0,N54*(1-VLOOKUP($A55,[1]Hugst!$R$5:$W$9,MATCH(ROUNDUP((O$1)/10,0)*10,[1]Hugst!$R$4:$W$4,0))))</f>
        <v>90.870486446276232</v>
      </c>
      <c r="P55">
        <f ca="1">IF($C55-P$1&lt;År1,0,O54*(1-VLOOKUP($A55,[1]Hugst!$R$5:$W$9,MATCH(ROUNDUP((P$1)/10,0)*10,[1]Hugst!$R$4:$W$4,0))))</f>
        <v>91.02037570477313</v>
      </c>
      <c r="Q55">
        <f ca="1">IF($C55-Q$1&lt;År1,0,P54*(1-VLOOKUP($A55,[1]Hugst!$R$5:$W$9,MATCH(ROUNDUP((Q$1)/10,0)*10,[1]Hugst!$R$4:$W$4,0))))</f>
        <v>91.171018175622692</v>
      </c>
      <c r="R55">
        <f ca="1">IF($C55-R$1&lt;År1,0,Q54*(1-VLOOKUP($A55,[1]Hugst!$R$5:$W$9,MATCH(ROUNDUP((R$1)/10,0)*10,[1]Hugst!$R$4:$W$4,0))))</f>
        <v>69.125136187275132</v>
      </c>
      <c r="S55">
        <f ca="1">IF($C55-S$1&lt;År1,0,R54*(1-VLOOKUP($A55,[1]Hugst!$R$5:$W$9,MATCH(ROUNDUP((S$1)/10,0)*10,[1]Hugst!$R$4:$W$4,0))))</f>
        <v>69.277296456813701</v>
      </c>
      <c r="T55">
        <f ca="1">IF($C55-T$1&lt;År1,0,S54*(1-VLOOKUP($A55,[1]Hugst!$R$5:$W$9,MATCH(ROUNDUP((T$1)/10,0)*10,[1]Hugst!$R$4:$W$4,0))))</f>
        <v>69.430221350823388</v>
      </c>
      <c r="U55">
        <f ca="1">IF($C55-U$1&lt;År1,0,T54*(1-VLOOKUP($A55,[1]Hugst!$R$5:$W$9,MATCH(ROUNDUP((U$1)/10,0)*10,[1]Hugst!$R$4:$W$4,0))))</f>
        <v>69.583914711636112</v>
      </c>
      <c r="V55">
        <f ca="1">IF($C55-V$1&lt;År1,0,U54*(1-VLOOKUP($A55,[1]Hugst!$R$5:$W$9,MATCH(ROUNDUP((V$1)/10,0)*10,[1]Hugst!$R$4:$W$4,0))))</f>
        <v>69.73838040089737</v>
      </c>
      <c r="W55">
        <f ca="1">IF($C55-W$1&lt;År1,0,V54*(1-VLOOKUP($A55,[1]Hugst!$R$5:$W$9,MATCH(ROUNDUP((W$1)/10,0)*10,[1]Hugst!$R$4:$W$4,0))))</f>
        <v>69.893622299649508</v>
      </c>
      <c r="X55">
        <f ca="1">IF($C55-X$1&lt;År1,0,W54*(1-VLOOKUP($A55,[1]Hugst!$R$5:$W$9,MATCH(ROUNDUP((X$1)/10,0)*10,[1]Hugst!$R$4:$W$4,0))))</f>
        <v>70.049644308447569</v>
      </c>
      <c r="Y55">
        <f ca="1">IF($C55-Y$1&lt;År1,0,X54*(1-VLOOKUP($A55,[1]Hugst!$R$5:$W$9,MATCH(ROUNDUP((Y$1)/10,0)*10,[1]Hugst!$R$4:$W$4,0))))</f>
        <v>70.206450347439187</v>
      </c>
      <c r="Z55">
        <f ca="1">IF($C55-Z$1&lt;År1,0,Y54*(1-VLOOKUP($A55,[1]Hugst!$R$5:$W$9,MATCH(ROUNDUP((Z$1)/10,0)*10,[1]Hugst!$R$4:$W$4,0))))</f>
        <v>70.364044356477635</v>
      </c>
      <c r="AA55">
        <f ca="1">IF($C55-AA$1&lt;År1,0,Z54*(1-VLOOKUP($A55,[1]Hugst!$R$5:$W$9,MATCH(ROUNDUP((AA$1)/10,0)*10,[1]Hugst!$R$4:$W$4,0))))</f>
        <v>70.522430295208849</v>
      </c>
      <c r="AB55">
        <f ca="1">IF($C55-AB$1&lt;År1,0,AA54*(1-VLOOKUP($A55,[1]Hugst!$R$5:$W$9,MATCH(ROUNDUP((AB$1)/10,0)*10,[1]Hugst!$R$4:$W$4,0))))</f>
        <v>70.681612143180047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89.41220125407466</v>
      </c>
      <c r="G56">
        <f ca="1">IF($C56-G$1&lt;År1,0,F55*(1-VLOOKUP($A56,[1]Hugst!$R$5:$W$9,MATCH(ROUNDUP((G$1)/10,0)*10,[1]Hugst!$R$4:$W$4,0))))</f>
        <v>89.554762446278403</v>
      </c>
      <c r="H56">
        <f ca="1">IF($C56-H$1&lt;År1,0,G55*(1-VLOOKUP($A56,[1]Hugst!$R$5:$W$9,MATCH(ROUNDUP((H$1)/10,0)*10,[1]Hugst!$R$4:$W$4,0))))</f>
        <v>89.698040026383126</v>
      </c>
      <c r="I56">
        <f ca="1">IF($C56-I$1&lt;År1,0,H55*(1-VLOOKUP($A56,[1]Hugst!$R$5:$W$9,MATCH(ROUNDUP((I$1)/10,0)*10,[1]Hugst!$R$4:$W$4,0))))</f>
        <v>89.842037594326996</v>
      </c>
      <c r="J56">
        <f ca="1">IF($C56-J$1&lt;År1,0,I55*(1-VLOOKUP($A56,[1]Hugst!$R$5:$W$9,MATCH(ROUNDUP((J$1)/10,0)*10,[1]Hugst!$R$4:$W$4,0))))</f>
        <v>89.98675876813985</v>
      </c>
      <c r="K56">
        <f ca="1">IF($C56-K$1&lt;År1,0,J55*(1-VLOOKUP($A56,[1]Hugst!$R$5:$W$9,MATCH(ROUNDUP((K$1)/10,0)*10,[1]Hugst!$R$4:$W$4,0))))</f>
        <v>90.132207184033689</v>
      </c>
      <c r="L56">
        <f ca="1">IF($C56-L$1&lt;År1,0,K55*(1-VLOOKUP($A56,[1]Hugst!$R$5:$W$9,MATCH(ROUNDUP((L$1)/10,0)*10,[1]Hugst!$R$4:$W$4,0))))</f>
        <v>90.278386496488167</v>
      </c>
      <c r="M56">
        <f ca="1">IF($C56-M$1&lt;År1,0,L55*(1-VLOOKUP($A56,[1]Hugst!$R$5:$W$9,MATCH(ROUNDUP((M$1)/10,0)*10,[1]Hugst!$R$4:$W$4,0))))</f>
        <v>90.425300378352233</v>
      </c>
      <c r="N56">
        <f ca="1">IF($C56-N$1&lt;År1,0,M55*(1-VLOOKUP($A56,[1]Hugst!$R$5:$W$9,MATCH(ROUNDUP((N$1)/10,0)*10,[1]Hugst!$R$4:$W$4,0))))</f>
        <v>90.572952520930073</v>
      </c>
      <c r="O56">
        <f ca="1">IF($C56-O$1&lt;År1,0,N55*(1-VLOOKUP($A56,[1]Hugst!$R$5:$W$9,MATCH(ROUNDUP((O$1)/10,0)*10,[1]Hugst!$R$4:$W$4,0))))</f>
        <v>90.721346634072461</v>
      </c>
      <c r="P56">
        <f ca="1">IF($C56-P$1&lt;År1,0,O55*(1-VLOOKUP($A56,[1]Hugst!$R$5:$W$9,MATCH(ROUNDUP((P$1)/10,0)*10,[1]Hugst!$R$4:$W$4,0))))</f>
        <v>90.870486446276232</v>
      </c>
      <c r="Q56">
        <f ca="1">IF($C56-Q$1&lt;År1,0,P55*(1-VLOOKUP($A56,[1]Hugst!$R$5:$W$9,MATCH(ROUNDUP((Q$1)/10,0)*10,[1]Hugst!$R$4:$W$4,0))))</f>
        <v>91.02037570477313</v>
      </c>
      <c r="R56">
        <f ca="1">IF($C56-R$1&lt;År1,0,Q55*(1-VLOOKUP($A56,[1]Hugst!$R$5:$W$9,MATCH(ROUNDUP((R$1)/10,0)*10,[1]Hugst!$R$4:$W$4,0))))</f>
        <v>91.171018175622692</v>
      </c>
      <c r="S56">
        <f ca="1">IF($C56-S$1&lt;År1,0,R55*(1-VLOOKUP($A56,[1]Hugst!$R$5:$W$9,MATCH(ROUNDUP((S$1)/10,0)*10,[1]Hugst!$R$4:$W$4,0))))</f>
        <v>69.125136187275132</v>
      </c>
      <c r="T56">
        <f ca="1">IF($C56-T$1&lt;År1,0,S55*(1-VLOOKUP($A56,[1]Hugst!$R$5:$W$9,MATCH(ROUNDUP((T$1)/10,0)*10,[1]Hugst!$R$4:$W$4,0))))</f>
        <v>69.277296456813701</v>
      </c>
      <c r="U56">
        <f ca="1">IF($C56-U$1&lt;År1,0,T55*(1-VLOOKUP($A56,[1]Hugst!$R$5:$W$9,MATCH(ROUNDUP((U$1)/10,0)*10,[1]Hugst!$R$4:$W$4,0))))</f>
        <v>69.430221350823388</v>
      </c>
      <c r="V56">
        <f ca="1">IF($C56-V$1&lt;År1,0,U55*(1-VLOOKUP($A56,[1]Hugst!$R$5:$W$9,MATCH(ROUNDUP((V$1)/10,0)*10,[1]Hugst!$R$4:$W$4,0))))</f>
        <v>69.583914711636112</v>
      </c>
      <c r="W56">
        <f ca="1">IF($C56-W$1&lt;År1,0,V55*(1-VLOOKUP($A56,[1]Hugst!$R$5:$W$9,MATCH(ROUNDUP((W$1)/10,0)*10,[1]Hugst!$R$4:$W$4,0))))</f>
        <v>69.73838040089737</v>
      </c>
      <c r="X56">
        <f ca="1">IF($C56-X$1&lt;År1,0,W55*(1-VLOOKUP($A56,[1]Hugst!$R$5:$W$9,MATCH(ROUNDUP((X$1)/10,0)*10,[1]Hugst!$R$4:$W$4,0))))</f>
        <v>69.893622299649508</v>
      </c>
      <c r="Y56">
        <f ca="1">IF($C56-Y$1&lt;År1,0,X55*(1-VLOOKUP($A56,[1]Hugst!$R$5:$W$9,MATCH(ROUNDUP((Y$1)/10,0)*10,[1]Hugst!$R$4:$W$4,0))))</f>
        <v>70.049644308447569</v>
      </c>
      <c r="Z56">
        <f ca="1">IF($C56-Z$1&lt;År1,0,Y55*(1-VLOOKUP($A56,[1]Hugst!$R$5:$W$9,MATCH(ROUNDUP((Z$1)/10,0)*10,[1]Hugst!$R$4:$W$4,0))))</f>
        <v>70.206450347439187</v>
      </c>
      <c r="AA56">
        <f ca="1">IF($C56-AA$1&lt;År1,0,Z55*(1-VLOOKUP($A56,[1]Hugst!$R$5:$W$9,MATCH(ROUNDUP((AA$1)/10,0)*10,[1]Hugst!$R$4:$W$4,0))))</f>
        <v>70.364044356477635</v>
      </c>
      <c r="AB56">
        <f ca="1">IF($C56-AB$1&lt;År1,0,AA55*(1-VLOOKUP($A56,[1]Hugst!$R$5:$W$9,MATCH(ROUNDUP((AB$1)/10,0)*10,[1]Hugst!$R$4:$W$4,0))))</f>
        <v>70.522430295208849</v>
      </c>
      <c r="AC56">
        <f ca="1">IF($C56-AC$1&lt;År1,0,AB55*(1-VLOOKUP($A56,[1]Hugst!$R$5:$W$9,MATCH(ROUNDUP((AC$1)/10,0)*10,[1]Hugst!$R$4:$W$4,0))))</f>
        <v>70.681612143180047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89.27035286783115</v>
      </c>
      <c r="G57">
        <f ca="1">IF($C57-G$1&lt;År1,0,F56*(1-VLOOKUP($A57,[1]Hugst!$R$5:$W$9,MATCH(ROUNDUP((G$1)/10,0)*10,[1]Hugst!$R$4:$W$4,0))))</f>
        <v>89.41220125407466</v>
      </c>
      <c r="H57">
        <f ca="1">IF($C57-H$1&lt;År1,0,G56*(1-VLOOKUP($A57,[1]Hugst!$R$5:$W$9,MATCH(ROUNDUP((H$1)/10,0)*10,[1]Hugst!$R$4:$W$4,0))))</f>
        <v>89.554762446278403</v>
      </c>
      <c r="I57">
        <f ca="1">IF($C57-I$1&lt;År1,0,H56*(1-VLOOKUP($A57,[1]Hugst!$R$5:$W$9,MATCH(ROUNDUP((I$1)/10,0)*10,[1]Hugst!$R$4:$W$4,0))))</f>
        <v>89.698040026383126</v>
      </c>
      <c r="J57">
        <f ca="1">IF($C57-J$1&lt;År1,0,I56*(1-VLOOKUP($A57,[1]Hugst!$R$5:$W$9,MATCH(ROUNDUP((J$1)/10,0)*10,[1]Hugst!$R$4:$W$4,0))))</f>
        <v>89.842037594326996</v>
      </c>
      <c r="K57">
        <f ca="1">IF($C57-K$1&lt;År1,0,J56*(1-VLOOKUP($A57,[1]Hugst!$R$5:$W$9,MATCH(ROUNDUP((K$1)/10,0)*10,[1]Hugst!$R$4:$W$4,0))))</f>
        <v>89.98675876813985</v>
      </c>
      <c r="L57">
        <f ca="1">IF($C57-L$1&lt;År1,0,K56*(1-VLOOKUP($A57,[1]Hugst!$R$5:$W$9,MATCH(ROUNDUP((L$1)/10,0)*10,[1]Hugst!$R$4:$W$4,0))))</f>
        <v>90.132207184033689</v>
      </c>
      <c r="M57">
        <f ca="1">IF($C57-M$1&lt;År1,0,L56*(1-VLOOKUP($A57,[1]Hugst!$R$5:$W$9,MATCH(ROUNDUP((M$1)/10,0)*10,[1]Hugst!$R$4:$W$4,0))))</f>
        <v>90.278386496488167</v>
      </c>
      <c r="N57">
        <f ca="1">IF($C57-N$1&lt;År1,0,M56*(1-VLOOKUP($A57,[1]Hugst!$R$5:$W$9,MATCH(ROUNDUP((N$1)/10,0)*10,[1]Hugst!$R$4:$W$4,0))))</f>
        <v>90.425300378352233</v>
      </c>
      <c r="O57">
        <f ca="1">IF($C57-O$1&lt;År1,0,N56*(1-VLOOKUP($A57,[1]Hugst!$R$5:$W$9,MATCH(ROUNDUP((O$1)/10,0)*10,[1]Hugst!$R$4:$W$4,0))))</f>
        <v>90.572952520930073</v>
      </c>
      <c r="P57">
        <f ca="1">IF($C57-P$1&lt;År1,0,O56*(1-VLOOKUP($A57,[1]Hugst!$R$5:$W$9,MATCH(ROUNDUP((P$1)/10,0)*10,[1]Hugst!$R$4:$W$4,0))))</f>
        <v>90.721346634072461</v>
      </c>
      <c r="Q57">
        <f ca="1">IF($C57-Q$1&lt;År1,0,P56*(1-VLOOKUP($A57,[1]Hugst!$R$5:$W$9,MATCH(ROUNDUP((Q$1)/10,0)*10,[1]Hugst!$R$4:$W$4,0))))</f>
        <v>90.870486446276232</v>
      </c>
      <c r="R57">
        <f ca="1">IF($C57-R$1&lt;År1,0,Q56*(1-VLOOKUP($A57,[1]Hugst!$R$5:$W$9,MATCH(ROUNDUP((R$1)/10,0)*10,[1]Hugst!$R$4:$W$4,0))))</f>
        <v>91.02037570477313</v>
      </c>
      <c r="S57">
        <f ca="1">IF($C57-S$1&lt;År1,0,R56*(1-VLOOKUP($A57,[1]Hugst!$R$5:$W$9,MATCH(ROUNDUP((S$1)/10,0)*10,[1]Hugst!$R$4:$W$4,0))))</f>
        <v>91.171018175622692</v>
      </c>
      <c r="T57">
        <f ca="1">IF($C57-T$1&lt;År1,0,S56*(1-VLOOKUP($A57,[1]Hugst!$R$5:$W$9,MATCH(ROUNDUP((T$1)/10,0)*10,[1]Hugst!$R$4:$W$4,0))))</f>
        <v>69.125136187275132</v>
      </c>
      <c r="U57">
        <f ca="1">IF($C57-U$1&lt;År1,0,T56*(1-VLOOKUP($A57,[1]Hugst!$R$5:$W$9,MATCH(ROUNDUP((U$1)/10,0)*10,[1]Hugst!$R$4:$W$4,0))))</f>
        <v>69.277296456813701</v>
      </c>
      <c r="V57">
        <f ca="1">IF($C57-V$1&lt;År1,0,U56*(1-VLOOKUP($A57,[1]Hugst!$R$5:$W$9,MATCH(ROUNDUP((V$1)/10,0)*10,[1]Hugst!$R$4:$W$4,0))))</f>
        <v>69.430221350823388</v>
      </c>
      <c r="W57">
        <f ca="1">IF($C57-W$1&lt;År1,0,V56*(1-VLOOKUP($A57,[1]Hugst!$R$5:$W$9,MATCH(ROUNDUP((W$1)/10,0)*10,[1]Hugst!$R$4:$W$4,0))))</f>
        <v>69.583914711636112</v>
      </c>
      <c r="X57">
        <f ca="1">IF($C57-X$1&lt;År1,0,W56*(1-VLOOKUP($A57,[1]Hugst!$R$5:$W$9,MATCH(ROUNDUP((X$1)/10,0)*10,[1]Hugst!$R$4:$W$4,0))))</f>
        <v>69.73838040089737</v>
      </c>
      <c r="Y57">
        <f ca="1">IF($C57-Y$1&lt;År1,0,X56*(1-VLOOKUP($A57,[1]Hugst!$R$5:$W$9,MATCH(ROUNDUP((Y$1)/10,0)*10,[1]Hugst!$R$4:$W$4,0))))</f>
        <v>69.893622299649508</v>
      </c>
      <c r="Z57">
        <f ca="1">IF($C57-Z$1&lt;År1,0,Y56*(1-VLOOKUP($A57,[1]Hugst!$R$5:$W$9,MATCH(ROUNDUP((Z$1)/10,0)*10,[1]Hugst!$R$4:$W$4,0))))</f>
        <v>70.049644308447569</v>
      </c>
      <c r="AA57">
        <f ca="1">IF($C57-AA$1&lt;År1,0,Z56*(1-VLOOKUP($A57,[1]Hugst!$R$5:$W$9,MATCH(ROUNDUP((AA$1)/10,0)*10,[1]Hugst!$R$4:$W$4,0))))</f>
        <v>70.206450347439187</v>
      </c>
      <c r="AB57">
        <f ca="1">IF($C57-AB$1&lt;År1,0,AA56*(1-VLOOKUP($A57,[1]Hugst!$R$5:$W$9,MATCH(ROUNDUP((AB$1)/10,0)*10,[1]Hugst!$R$4:$W$4,0))))</f>
        <v>70.364044356477635</v>
      </c>
      <c r="AC57">
        <f ca="1">IF($C57-AC$1&lt;År1,0,AB56*(1-VLOOKUP($A57,[1]Hugst!$R$5:$W$9,MATCH(ROUNDUP((AC$1)/10,0)*10,[1]Hugst!$R$4:$W$4,0))))</f>
        <v>70.522430295208849</v>
      </c>
      <c r="AD57">
        <f ca="1">IF($C57-AD$1&lt;År1,0,AC56*(1-VLOOKUP($A57,[1]Hugst!$R$5:$W$9,MATCH(ROUNDUP((AD$1)/10,0)*10,[1]Hugst!$R$4:$W$4,0))))</f>
        <v>70.681612143180047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89.12921372351974</v>
      </c>
      <c r="G58">
        <f ca="1">IF($C58-G$1&lt;År1,0,F57*(1-VLOOKUP($A58,[1]Hugst!$R$5:$W$9,MATCH(ROUNDUP((G$1)/10,0)*10,[1]Hugst!$R$4:$W$4,0))))</f>
        <v>89.27035286783115</v>
      </c>
      <c r="H58">
        <f ca="1">IF($C58-H$1&lt;År1,0,G57*(1-VLOOKUP($A58,[1]Hugst!$R$5:$W$9,MATCH(ROUNDUP((H$1)/10,0)*10,[1]Hugst!$R$4:$W$4,0))))</f>
        <v>89.41220125407466</v>
      </c>
      <c r="I58">
        <f ca="1">IF($C58-I$1&lt;År1,0,H57*(1-VLOOKUP($A58,[1]Hugst!$R$5:$W$9,MATCH(ROUNDUP((I$1)/10,0)*10,[1]Hugst!$R$4:$W$4,0))))</f>
        <v>89.554762446278403</v>
      </c>
      <c r="J58">
        <f ca="1">IF($C58-J$1&lt;År1,0,I57*(1-VLOOKUP($A58,[1]Hugst!$R$5:$W$9,MATCH(ROUNDUP((J$1)/10,0)*10,[1]Hugst!$R$4:$W$4,0))))</f>
        <v>89.698040026383126</v>
      </c>
      <c r="K58">
        <f ca="1">IF($C58-K$1&lt;År1,0,J57*(1-VLOOKUP($A58,[1]Hugst!$R$5:$W$9,MATCH(ROUNDUP((K$1)/10,0)*10,[1]Hugst!$R$4:$W$4,0))))</f>
        <v>89.842037594326996</v>
      </c>
      <c r="L58">
        <f ca="1">IF($C58-L$1&lt;År1,0,K57*(1-VLOOKUP($A58,[1]Hugst!$R$5:$W$9,MATCH(ROUNDUP((L$1)/10,0)*10,[1]Hugst!$R$4:$W$4,0))))</f>
        <v>89.98675876813985</v>
      </c>
      <c r="M58">
        <f ca="1">IF($C58-M$1&lt;År1,0,L57*(1-VLOOKUP($A58,[1]Hugst!$R$5:$W$9,MATCH(ROUNDUP((M$1)/10,0)*10,[1]Hugst!$R$4:$W$4,0))))</f>
        <v>90.132207184033689</v>
      </c>
      <c r="N58">
        <f ca="1">IF($C58-N$1&lt;År1,0,M57*(1-VLOOKUP($A58,[1]Hugst!$R$5:$W$9,MATCH(ROUNDUP((N$1)/10,0)*10,[1]Hugst!$R$4:$W$4,0))))</f>
        <v>90.278386496488167</v>
      </c>
      <c r="O58">
        <f ca="1">IF($C58-O$1&lt;År1,0,N57*(1-VLOOKUP($A58,[1]Hugst!$R$5:$W$9,MATCH(ROUNDUP((O$1)/10,0)*10,[1]Hugst!$R$4:$W$4,0))))</f>
        <v>90.425300378352233</v>
      </c>
      <c r="P58">
        <f ca="1">IF($C58-P$1&lt;År1,0,O57*(1-VLOOKUP($A58,[1]Hugst!$R$5:$W$9,MATCH(ROUNDUP((P$1)/10,0)*10,[1]Hugst!$R$4:$W$4,0))))</f>
        <v>90.572952520930073</v>
      </c>
      <c r="Q58">
        <f ca="1">IF($C58-Q$1&lt;År1,0,P57*(1-VLOOKUP($A58,[1]Hugst!$R$5:$W$9,MATCH(ROUNDUP((Q$1)/10,0)*10,[1]Hugst!$R$4:$W$4,0))))</f>
        <v>90.721346634072461</v>
      </c>
      <c r="R58">
        <f ca="1">IF($C58-R$1&lt;År1,0,Q57*(1-VLOOKUP($A58,[1]Hugst!$R$5:$W$9,MATCH(ROUNDUP((R$1)/10,0)*10,[1]Hugst!$R$4:$W$4,0))))</f>
        <v>90.870486446276232</v>
      </c>
      <c r="S58">
        <f ca="1">IF($C58-S$1&lt;År1,0,R57*(1-VLOOKUP($A58,[1]Hugst!$R$5:$W$9,MATCH(ROUNDUP((S$1)/10,0)*10,[1]Hugst!$R$4:$W$4,0))))</f>
        <v>91.02037570477313</v>
      </c>
      <c r="T58">
        <f ca="1">IF($C58-T$1&lt;År1,0,S57*(1-VLOOKUP($A58,[1]Hugst!$R$5:$W$9,MATCH(ROUNDUP((T$1)/10,0)*10,[1]Hugst!$R$4:$W$4,0))))</f>
        <v>91.171018175622692</v>
      </c>
      <c r="U58">
        <f ca="1">IF($C58-U$1&lt;År1,0,T57*(1-VLOOKUP($A58,[1]Hugst!$R$5:$W$9,MATCH(ROUNDUP((U$1)/10,0)*10,[1]Hugst!$R$4:$W$4,0))))</f>
        <v>69.125136187275132</v>
      </c>
      <c r="V58">
        <f ca="1">IF($C58-V$1&lt;År1,0,U57*(1-VLOOKUP($A58,[1]Hugst!$R$5:$W$9,MATCH(ROUNDUP((V$1)/10,0)*10,[1]Hugst!$R$4:$W$4,0))))</f>
        <v>69.277296456813701</v>
      </c>
      <c r="W58">
        <f ca="1">IF($C58-W$1&lt;År1,0,V57*(1-VLOOKUP($A58,[1]Hugst!$R$5:$W$9,MATCH(ROUNDUP((W$1)/10,0)*10,[1]Hugst!$R$4:$W$4,0))))</f>
        <v>69.430221350823388</v>
      </c>
      <c r="X58">
        <f ca="1">IF($C58-X$1&lt;År1,0,W57*(1-VLOOKUP($A58,[1]Hugst!$R$5:$W$9,MATCH(ROUNDUP((X$1)/10,0)*10,[1]Hugst!$R$4:$W$4,0))))</f>
        <v>69.583914711636112</v>
      </c>
      <c r="Y58">
        <f ca="1">IF($C58-Y$1&lt;År1,0,X57*(1-VLOOKUP($A58,[1]Hugst!$R$5:$W$9,MATCH(ROUNDUP((Y$1)/10,0)*10,[1]Hugst!$R$4:$W$4,0))))</f>
        <v>69.73838040089737</v>
      </c>
      <c r="Z58">
        <f ca="1">IF($C58-Z$1&lt;År1,0,Y57*(1-VLOOKUP($A58,[1]Hugst!$R$5:$W$9,MATCH(ROUNDUP((Z$1)/10,0)*10,[1]Hugst!$R$4:$W$4,0))))</f>
        <v>69.893622299649508</v>
      </c>
      <c r="AA58">
        <f ca="1">IF($C58-AA$1&lt;År1,0,Z57*(1-VLOOKUP($A58,[1]Hugst!$R$5:$W$9,MATCH(ROUNDUP((AA$1)/10,0)*10,[1]Hugst!$R$4:$W$4,0))))</f>
        <v>70.049644308447569</v>
      </c>
      <c r="AB58">
        <f ca="1">IF($C58-AB$1&lt;År1,0,AA57*(1-VLOOKUP($A58,[1]Hugst!$R$5:$W$9,MATCH(ROUNDUP((AB$1)/10,0)*10,[1]Hugst!$R$4:$W$4,0))))</f>
        <v>70.206450347439187</v>
      </c>
      <c r="AC58">
        <f ca="1">IF($C58-AC$1&lt;År1,0,AB57*(1-VLOOKUP($A58,[1]Hugst!$R$5:$W$9,MATCH(ROUNDUP((AC$1)/10,0)*10,[1]Hugst!$R$4:$W$4,0))))</f>
        <v>70.364044356477635</v>
      </c>
      <c r="AD58">
        <f ca="1">IF($C58-AD$1&lt;År1,0,AC57*(1-VLOOKUP($A58,[1]Hugst!$R$5:$W$9,MATCH(ROUNDUP((AD$1)/10,0)*10,[1]Hugst!$R$4:$W$4,0))))</f>
        <v>70.522430295208849</v>
      </c>
      <c r="AE58">
        <f ca="1">IF($C58-AE$1&lt;År1,0,AD57*(1-VLOOKUP($A58,[1]Hugst!$R$5:$W$9,MATCH(ROUNDUP((AE$1)/10,0)*10,[1]Hugst!$R$4:$W$4,0))))</f>
        <v>70.681612143180047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88.988780274930321</v>
      </c>
      <c r="G59">
        <f ca="1">IF($C59-G$1&lt;År1,0,F58*(1-VLOOKUP($A59,[1]Hugst!$R$5:$W$9,MATCH(ROUNDUP((G$1)/10,0)*10,[1]Hugst!$R$4:$W$4,0))))</f>
        <v>89.12921372351974</v>
      </c>
      <c r="H59">
        <f ca="1">IF($C59-H$1&lt;År1,0,G58*(1-VLOOKUP($A59,[1]Hugst!$R$5:$W$9,MATCH(ROUNDUP((H$1)/10,0)*10,[1]Hugst!$R$4:$W$4,0))))</f>
        <v>89.27035286783115</v>
      </c>
      <c r="I59">
        <f ca="1">IF($C59-I$1&lt;År1,0,H58*(1-VLOOKUP($A59,[1]Hugst!$R$5:$W$9,MATCH(ROUNDUP((I$1)/10,0)*10,[1]Hugst!$R$4:$W$4,0))))</f>
        <v>89.41220125407466</v>
      </c>
      <c r="J59">
        <f ca="1">IF($C59-J$1&lt;År1,0,I58*(1-VLOOKUP($A59,[1]Hugst!$R$5:$W$9,MATCH(ROUNDUP((J$1)/10,0)*10,[1]Hugst!$R$4:$W$4,0))))</f>
        <v>89.554762446278403</v>
      </c>
      <c r="K59">
        <f ca="1">IF($C59-K$1&lt;År1,0,J58*(1-VLOOKUP($A59,[1]Hugst!$R$5:$W$9,MATCH(ROUNDUP((K$1)/10,0)*10,[1]Hugst!$R$4:$W$4,0))))</f>
        <v>89.698040026383126</v>
      </c>
      <c r="L59">
        <f ca="1">IF($C59-L$1&lt;År1,0,K58*(1-VLOOKUP($A59,[1]Hugst!$R$5:$W$9,MATCH(ROUNDUP((L$1)/10,0)*10,[1]Hugst!$R$4:$W$4,0))))</f>
        <v>89.842037594326996</v>
      </c>
      <c r="M59">
        <f ca="1">IF($C59-M$1&lt;År1,0,L58*(1-VLOOKUP($A59,[1]Hugst!$R$5:$W$9,MATCH(ROUNDUP((M$1)/10,0)*10,[1]Hugst!$R$4:$W$4,0))))</f>
        <v>89.98675876813985</v>
      </c>
      <c r="N59">
        <f ca="1">IF($C59-N$1&lt;År1,0,M58*(1-VLOOKUP($A59,[1]Hugst!$R$5:$W$9,MATCH(ROUNDUP((N$1)/10,0)*10,[1]Hugst!$R$4:$W$4,0))))</f>
        <v>90.132207184033689</v>
      </c>
      <c r="O59">
        <f ca="1">IF($C59-O$1&lt;År1,0,N58*(1-VLOOKUP($A59,[1]Hugst!$R$5:$W$9,MATCH(ROUNDUP((O$1)/10,0)*10,[1]Hugst!$R$4:$W$4,0))))</f>
        <v>90.278386496488167</v>
      </c>
      <c r="P59">
        <f ca="1">IF($C59-P$1&lt;År1,0,O58*(1-VLOOKUP($A59,[1]Hugst!$R$5:$W$9,MATCH(ROUNDUP((P$1)/10,0)*10,[1]Hugst!$R$4:$W$4,0))))</f>
        <v>90.425300378352233</v>
      </c>
      <c r="Q59">
        <f ca="1">IF($C59-Q$1&lt;År1,0,P58*(1-VLOOKUP($A59,[1]Hugst!$R$5:$W$9,MATCH(ROUNDUP((Q$1)/10,0)*10,[1]Hugst!$R$4:$W$4,0))))</f>
        <v>90.572952520930073</v>
      </c>
      <c r="R59">
        <f ca="1">IF($C59-R$1&lt;År1,0,Q58*(1-VLOOKUP($A59,[1]Hugst!$R$5:$W$9,MATCH(ROUNDUP((R$1)/10,0)*10,[1]Hugst!$R$4:$W$4,0))))</f>
        <v>90.721346634072461</v>
      </c>
      <c r="S59">
        <f ca="1">IF($C59-S$1&lt;År1,0,R58*(1-VLOOKUP($A59,[1]Hugst!$R$5:$W$9,MATCH(ROUNDUP((S$1)/10,0)*10,[1]Hugst!$R$4:$W$4,0))))</f>
        <v>90.870486446276232</v>
      </c>
      <c r="T59">
        <f ca="1">IF($C59-T$1&lt;År1,0,S58*(1-VLOOKUP($A59,[1]Hugst!$R$5:$W$9,MATCH(ROUNDUP((T$1)/10,0)*10,[1]Hugst!$R$4:$W$4,0))))</f>
        <v>91.02037570477313</v>
      </c>
      <c r="U59">
        <f ca="1">IF($C59-U$1&lt;År1,0,T58*(1-VLOOKUP($A59,[1]Hugst!$R$5:$W$9,MATCH(ROUNDUP((U$1)/10,0)*10,[1]Hugst!$R$4:$W$4,0))))</f>
        <v>91.171018175622692</v>
      </c>
      <c r="V59">
        <f ca="1">IF($C59-V$1&lt;År1,0,U58*(1-VLOOKUP($A59,[1]Hugst!$R$5:$W$9,MATCH(ROUNDUP((V$1)/10,0)*10,[1]Hugst!$R$4:$W$4,0))))</f>
        <v>69.125136187275132</v>
      </c>
      <c r="W59">
        <f ca="1">IF($C59-W$1&lt;År1,0,V58*(1-VLOOKUP($A59,[1]Hugst!$R$5:$W$9,MATCH(ROUNDUP((W$1)/10,0)*10,[1]Hugst!$R$4:$W$4,0))))</f>
        <v>69.277296456813701</v>
      </c>
      <c r="X59">
        <f ca="1">IF($C59-X$1&lt;År1,0,W58*(1-VLOOKUP($A59,[1]Hugst!$R$5:$W$9,MATCH(ROUNDUP((X$1)/10,0)*10,[1]Hugst!$R$4:$W$4,0))))</f>
        <v>69.430221350823388</v>
      </c>
      <c r="Y59">
        <f ca="1">IF($C59-Y$1&lt;År1,0,X58*(1-VLOOKUP($A59,[1]Hugst!$R$5:$W$9,MATCH(ROUNDUP((Y$1)/10,0)*10,[1]Hugst!$R$4:$W$4,0))))</f>
        <v>69.583914711636112</v>
      </c>
      <c r="Z59">
        <f ca="1">IF($C59-Z$1&lt;År1,0,Y58*(1-VLOOKUP($A59,[1]Hugst!$R$5:$W$9,MATCH(ROUNDUP((Z$1)/10,0)*10,[1]Hugst!$R$4:$W$4,0))))</f>
        <v>69.73838040089737</v>
      </c>
      <c r="AA59">
        <f ca="1">IF($C59-AA$1&lt;År1,0,Z58*(1-VLOOKUP($A59,[1]Hugst!$R$5:$W$9,MATCH(ROUNDUP((AA$1)/10,0)*10,[1]Hugst!$R$4:$W$4,0))))</f>
        <v>69.893622299649508</v>
      </c>
      <c r="AB59">
        <f ca="1">IF($C59-AB$1&lt;År1,0,AA58*(1-VLOOKUP($A59,[1]Hugst!$R$5:$W$9,MATCH(ROUNDUP((AB$1)/10,0)*10,[1]Hugst!$R$4:$W$4,0))))</f>
        <v>70.049644308447569</v>
      </c>
      <c r="AC59">
        <f ca="1">IF($C59-AC$1&lt;År1,0,AB58*(1-VLOOKUP($A59,[1]Hugst!$R$5:$W$9,MATCH(ROUNDUP((AC$1)/10,0)*10,[1]Hugst!$R$4:$W$4,0))))</f>
        <v>70.206450347439187</v>
      </c>
      <c r="AD59">
        <f ca="1">IF($C59-AD$1&lt;År1,0,AC58*(1-VLOOKUP($A59,[1]Hugst!$R$5:$W$9,MATCH(ROUNDUP((AD$1)/10,0)*10,[1]Hugst!$R$4:$W$4,0))))</f>
        <v>70.364044356477635</v>
      </c>
      <c r="AE59">
        <f ca="1">IF($C59-AE$1&lt;År1,0,AD58*(1-VLOOKUP($A59,[1]Hugst!$R$5:$W$9,MATCH(ROUNDUP((AE$1)/10,0)*10,[1]Hugst!$R$4:$W$4,0))))</f>
        <v>70.522430295208849</v>
      </c>
      <c r="AF59">
        <f ca="1">IF($C59-AF$1&lt;År1,0,AE58*(1-VLOOKUP($A59,[1]Hugst!$R$5:$W$9,MATCH(ROUNDUP((AF$1)/10,0)*10,[1]Hugst!$R$4:$W$4,0))))</f>
        <v>70.681612143180047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88.849048993581221</v>
      </c>
      <c r="G60">
        <f ca="1">IF($C60-G$1&lt;År1,0,F59*(1-VLOOKUP($A60,[1]Hugst!$R$5:$W$9,MATCH(ROUNDUP((G$1)/10,0)*10,[1]Hugst!$R$4:$W$4,0))))</f>
        <v>88.988780274930321</v>
      </c>
      <c r="H60">
        <f ca="1">IF($C60-H$1&lt;År1,0,G59*(1-VLOOKUP($A60,[1]Hugst!$R$5:$W$9,MATCH(ROUNDUP((H$1)/10,0)*10,[1]Hugst!$R$4:$W$4,0))))</f>
        <v>89.12921372351974</v>
      </c>
      <c r="I60">
        <f ca="1">IF($C60-I$1&lt;År1,0,H59*(1-VLOOKUP($A60,[1]Hugst!$R$5:$W$9,MATCH(ROUNDUP((I$1)/10,0)*10,[1]Hugst!$R$4:$W$4,0))))</f>
        <v>89.27035286783115</v>
      </c>
      <c r="J60">
        <f ca="1">IF($C60-J$1&lt;År1,0,I59*(1-VLOOKUP($A60,[1]Hugst!$R$5:$W$9,MATCH(ROUNDUP((J$1)/10,0)*10,[1]Hugst!$R$4:$W$4,0))))</f>
        <v>89.41220125407466</v>
      </c>
      <c r="K60">
        <f ca="1">IF($C60-K$1&lt;År1,0,J59*(1-VLOOKUP($A60,[1]Hugst!$R$5:$W$9,MATCH(ROUNDUP((K$1)/10,0)*10,[1]Hugst!$R$4:$W$4,0))))</f>
        <v>89.554762446278403</v>
      </c>
      <c r="L60">
        <f ca="1">IF($C60-L$1&lt;År1,0,K59*(1-VLOOKUP($A60,[1]Hugst!$R$5:$W$9,MATCH(ROUNDUP((L$1)/10,0)*10,[1]Hugst!$R$4:$W$4,0))))</f>
        <v>89.698040026383126</v>
      </c>
      <c r="M60">
        <f ca="1">IF($C60-M$1&lt;År1,0,L59*(1-VLOOKUP($A60,[1]Hugst!$R$5:$W$9,MATCH(ROUNDUP((M$1)/10,0)*10,[1]Hugst!$R$4:$W$4,0))))</f>
        <v>89.842037594326996</v>
      </c>
      <c r="N60">
        <f ca="1">IF($C60-N$1&lt;År1,0,M59*(1-VLOOKUP($A60,[1]Hugst!$R$5:$W$9,MATCH(ROUNDUP((N$1)/10,0)*10,[1]Hugst!$R$4:$W$4,0))))</f>
        <v>89.98675876813985</v>
      </c>
      <c r="O60">
        <f ca="1">IF($C60-O$1&lt;År1,0,N59*(1-VLOOKUP($A60,[1]Hugst!$R$5:$W$9,MATCH(ROUNDUP((O$1)/10,0)*10,[1]Hugst!$R$4:$W$4,0))))</f>
        <v>90.132207184033689</v>
      </c>
      <c r="P60">
        <f ca="1">IF($C60-P$1&lt;År1,0,O59*(1-VLOOKUP($A60,[1]Hugst!$R$5:$W$9,MATCH(ROUNDUP((P$1)/10,0)*10,[1]Hugst!$R$4:$W$4,0))))</f>
        <v>90.278386496488167</v>
      </c>
      <c r="Q60">
        <f ca="1">IF($C60-Q$1&lt;År1,0,P59*(1-VLOOKUP($A60,[1]Hugst!$R$5:$W$9,MATCH(ROUNDUP((Q$1)/10,0)*10,[1]Hugst!$R$4:$W$4,0))))</f>
        <v>90.425300378352233</v>
      </c>
      <c r="R60">
        <f ca="1">IF($C60-R$1&lt;År1,0,Q59*(1-VLOOKUP($A60,[1]Hugst!$R$5:$W$9,MATCH(ROUNDUP((R$1)/10,0)*10,[1]Hugst!$R$4:$W$4,0))))</f>
        <v>90.572952520930073</v>
      </c>
      <c r="S60">
        <f ca="1">IF($C60-S$1&lt;År1,0,R59*(1-VLOOKUP($A60,[1]Hugst!$R$5:$W$9,MATCH(ROUNDUP((S$1)/10,0)*10,[1]Hugst!$R$4:$W$4,0))))</f>
        <v>90.721346634072461</v>
      </c>
      <c r="T60">
        <f ca="1">IF($C60-T$1&lt;År1,0,S59*(1-VLOOKUP($A60,[1]Hugst!$R$5:$W$9,MATCH(ROUNDUP((T$1)/10,0)*10,[1]Hugst!$R$4:$W$4,0))))</f>
        <v>90.870486446276232</v>
      </c>
      <c r="U60">
        <f ca="1">IF($C60-U$1&lt;År1,0,T59*(1-VLOOKUP($A60,[1]Hugst!$R$5:$W$9,MATCH(ROUNDUP((U$1)/10,0)*10,[1]Hugst!$R$4:$W$4,0))))</f>
        <v>91.02037570477313</v>
      </c>
      <c r="V60">
        <f ca="1">IF($C60-V$1&lt;År1,0,U59*(1-VLOOKUP($A60,[1]Hugst!$R$5:$W$9,MATCH(ROUNDUP((V$1)/10,0)*10,[1]Hugst!$R$4:$W$4,0))))</f>
        <v>91.171018175622692</v>
      </c>
      <c r="W60">
        <f ca="1">IF($C60-W$1&lt;År1,0,V59*(1-VLOOKUP($A60,[1]Hugst!$R$5:$W$9,MATCH(ROUNDUP((W$1)/10,0)*10,[1]Hugst!$R$4:$W$4,0))))</f>
        <v>69.125136187275132</v>
      </c>
      <c r="X60">
        <f ca="1">IF($C60-X$1&lt;År1,0,W59*(1-VLOOKUP($A60,[1]Hugst!$R$5:$W$9,MATCH(ROUNDUP((X$1)/10,0)*10,[1]Hugst!$R$4:$W$4,0))))</f>
        <v>69.277296456813701</v>
      </c>
      <c r="Y60">
        <f ca="1">IF($C60-Y$1&lt;År1,0,X59*(1-VLOOKUP($A60,[1]Hugst!$R$5:$W$9,MATCH(ROUNDUP((Y$1)/10,0)*10,[1]Hugst!$R$4:$W$4,0))))</f>
        <v>69.430221350823388</v>
      </c>
      <c r="Z60">
        <f ca="1">IF($C60-Z$1&lt;År1,0,Y59*(1-VLOOKUP($A60,[1]Hugst!$R$5:$W$9,MATCH(ROUNDUP((Z$1)/10,0)*10,[1]Hugst!$R$4:$W$4,0))))</f>
        <v>69.583914711636112</v>
      </c>
      <c r="AA60">
        <f ca="1">IF($C60-AA$1&lt;År1,0,Z59*(1-VLOOKUP($A60,[1]Hugst!$R$5:$W$9,MATCH(ROUNDUP((AA$1)/10,0)*10,[1]Hugst!$R$4:$W$4,0))))</f>
        <v>69.73838040089737</v>
      </c>
      <c r="AB60">
        <f ca="1">IF($C60-AB$1&lt;År1,0,AA59*(1-VLOOKUP($A60,[1]Hugst!$R$5:$W$9,MATCH(ROUNDUP((AB$1)/10,0)*10,[1]Hugst!$R$4:$W$4,0))))</f>
        <v>69.893622299649508</v>
      </c>
      <c r="AC60">
        <f ca="1">IF($C60-AC$1&lt;År1,0,AB59*(1-VLOOKUP($A60,[1]Hugst!$R$5:$W$9,MATCH(ROUNDUP((AC$1)/10,0)*10,[1]Hugst!$R$4:$W$4,0))))</f>
        <v>70.049644308447569</v>
      </c>
      <c r="AD60">
        <f ca="1">IF($C60-AD$1&lt;År1,0,AC59*(1-VLOOKUP($A60,[1]Hugst!$R$5:$W$9,MATCH(ROUNDUP((AD$1)/10,0)*10,[1]Hugst!$R$4:$W$4,0))))</f>
        <v>70.206450347439187</v>
      </c>
      <c r="AE60">
        <f ca="1">IF($C60-AE$1&lt;År1,0,AD59*(1-VLOOKUP($A60,[1]Hugst!$R$5:$W$9,MATCH(ROUNDUP((AE$1)/10,0)*10,[1]Hugst!$R$4:$W$4,0))))</f>
        <v>70.364044356477635</v>
      </c>
      <c r="AF60">
        <f ca="1">IF($C60-AF$1&lt;År1,0,AE59*(1-VLOOKUP($A60,[1]Hugst!$R$5:$W$9,MATCH(ROUNDUP((AF$1)/10,0)*10,[1]Hugst!$R$4:$W$4,0))))</f>
        <v>70.522430295208849</v>
      </c>
      <c r="AG60">
        <f ca="1">IF($C60-AG$1&lt;År1,0,AF59*(1-VLOOKUP($A60,[1]Hugst!$R$5:$W$9,MATCH(ROUNDUP((AG$1)/10,0)*10,[1]Hugst!$R$4:$W$4,0))))</f>
        <v>70.681612143180047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88.710016368641448</v>
      </c>
      <c r="G61">
        <f ca="1">IF($C61-G$1&lt;År1,0,F60*(1-VLOOKUP($A61,[1]Hugst!$R$5:$W$9,MATCH(ROUNDUP((G$1)/10,0)*10,[1]Hugst!$R$4:$W$4,0))))</f>
        <v>88.849048993581221</v>
      </c>
      <c r="H61">
        <f ca="1">IF($C61-H$1&lt;År1,0,G60*(1-VLOOKUP($A61,[1]Hugst!$R$5:$W$9,MATCH(ROUNDUP((H$1)/10,0)*10,[1]Hugst!$R$4:$W$4,0))))</f>
        <v>88.988780274930321</v>
      </c>
      <c r="I61">
        <f ca="1">IF($C61-I$1&lt;År1,0,H60*(1-VLOOKUP($A61,[1]Hugst!$R$5:$W$9,MATCH(ROUNDUP((I$1)/10,0)*10,[1]Hugst!$R$4:$W$4,0))))</f>
        <v>89.12921372351974</v>
      </c>
      <c r="J61">
        <f ca="1">IF($C61-J$1&lt;År1,0,I60*(1-VLOOKUP($A61,[1]Hugst!$R$5:$W$9,MATCH(ROUNDUP((J$1)/10,0)*10,[1]Hugst!$R$4:$W$4,0))))</f>
        <v>89.27035286783115</v>
      </c>
      <c r="K61">
        <f ca="1">IF($C61-K$1&lt;År1,0,J60*(1-VLOOKUP($A61,[1]Hugst!$R$5:$W$9,MATCH(ROUNDUP((K$1)/10,0)*10,[1]Hugst!$R$4:$W$4,0))))</f>
        <v>89.41220125407466</v>
      </c>
      <c r="L61">
        <f ca="1">IF($C61-L$1&lt;År1,0,K60*(1-VLOOKUP($A61,[1]Hugst!$R$5:$W$9,MATCH(ROUNDUP((L$1)/10,0)*10,[1]Hugst!$R$4:$W$4,0))))</f>
        <v>89.554762446278403</v>
      </c>
      <c r="M61">
        <f ca="1">IF($C61-M$1&lt;År1,0,L60*(1-VLOOKUP($A61,[1]Hugst!$R$5:$W$9,MATCH(ROUNDUP((M$1)/10,0)*10,[1]Hugst!$R$4:$W$4,0))))</f>
        <v>89.698040026383126</v>
      </c>
      <c r="N61">
        <f ca="1">IF($C61-N$1&lt;År1,0,M60*(1-VLOOKUP($A61,[1]Hugst!$R$5:$W$9,MATCH(ROUNDUP((N$1)/10,0)*10,[1]Hugst!$R$4:$W$4,0))))</f>
        <v>89.842037594326996</v>
      </c>
      <c r="O61">
        <f ca="1">IF($C61-O$1&lt;År1,0,N60*(1-VLOOKUP($A61,[1]Hugst!$R$5:$W$9,MATCH(ROUNDUP((O$1)/10,0)*10,[1]Hugst!$R$4:$W$4,0))))</f>
        <v>89.98675876813985</v>
      </c>
      <c r="P61">
        <f ca="1">IF($C61-P$1&lt;År1,0,O60*(1-VLOOKUP($A61,[1]Hugst!$R$5:$W$9,MATCH(ROUNDUP((P$1)/10,0)*10,[1]Hugst!$R$4:$W$4,0))))</f>
        <v>90.132207184033689</v>
      </c>
      <c r="Q61">
        <f ca="1">IF($C61-Q$1&lt;År1,0,P60*(1-VLOOKUP($A61,[1]Hugst!$R$5:$W$9,MATCH(ROUNDUP((Q$1)/10,0)*10,[1]Hugst!$R$4:$W$4,0))))</f>
        <v>90.278386496488167</v>
      </c>
      <c r="R61">
        <f ca="1">IF($C61-R$1&lt;År1,0,Q60*(1-VLOOKUP($A61,[1]Hugst!$R$5:$W$9,MATCH(ROUNDUP((R$1)/10,0)*10,[1]Hugst!$R$4:$W$4,0))))</f>
        <v>90.425300378352233</v>
      </c>
      <c r="S61">
        <f ca="1">IF($C61-S$1&lt;År1,0,R60*(1-VLOOKUP($A61,[1]Hugst!$R$5:$W$9,MATCH(ROUNDUP((S$1)/10,0)*10,[1]Hugst!$R$4:$W$4,0))))</f>
        <v>90.572952520930073</v>
      </c>
      <c r="T61">
        <f ca="1">IF($C61-T$1&lt;År1,0,S60*(1-VLOOKUP($A61,[1]Hugst!$R$5:$W$9,MATCH(ROUNDUP((T$1)/10,0)*10,[1]Hugst!$R$4:$W$4,0))))</f>
        <v>90.721346634072461</v>
      </c>
      <c r="U61">
        <f ca="1">IF($C61-U$1&lt;År1,0,T60*(1-VLOOKUP($A61,[1]Hugst!$R$5:$W$9,MATCH(ROUNDUP((U$1)/10,0)*10,[1]Hugst!$R$4:$W$4,0))))</f>
        <v>90.870486446276232</v>
      </c>
      <c r="V61">
        <f ca="1">IF($C61-V$1&lt;År1,0,U60*(1-VLOOKUP($A61,[1]Hugst!$R$5:$W$9,MATCH(ROUNDUP((V$1)/10,0)*10,[1]Hugst!$R$4:$W$4,0))))</f>
        <v>91.02037570477313</v>
      </c>
      <c r="W61">
        <f ca="1">IF($C61-W$1&lt;År1,0,V60*(1-VLOOKUP($A61,[1]Hugst!$R$5:$W$9,MATCH(ROUNDUP((W$1)/10,0)*10,[1]Hugst!$R$4:$W$4,0))))</f>
        <v>91.171018175622692</v>
      </c>
      <c r="X61">
        <f ca="1">IF($C61-X$1&lt;År1,0,W60*(1-VLOOKUP($A61,[1]Hugst!$R$5:$W$9,MATCH(ROUNDUP((X$1)/10,0)*10,[1]Hugst!$R$4:$W$4,0))))</f>
        <v>69.125136187275132</v>
      </c>
      <c r="Y61">
        <f ca="1">IF($C61-Y$1&lt;År1,0,X60*(1-VLOOKUP($A61,[1]Hugst!$R$5:$W$9,MATCH(ROUNDUP((Y$1)/10,0)*10,[1]Hugst!$R$4:$W$4,0))))</f>
        <v>69.277296456813701</v>
      </c>
      <c r="Z61">
        <f ca="1">IF($C61-Z$1&lt;År1,0,Y60*(1-VLOOKUP($A61,[1]Hugst!$R$5:$W$9,MATCH(ROUNDUP((Z$1)/10,0)*10,[1]Hugst!$R$4:$W$4,0))))</f>
        <v>69.430221350823388</v>
      </c>
      <c r="AA61">
        <f ca="1">IF($C61-AA$1&lt;År1,0,Z60*(1-VLOOKUP($A61,[1]Hugst!$R$5:$W$9,MATCH(ROUNDUP((AA$1)/10,0)*10,[1]Hugst!$R$4:$W$4,0))))</f>
        <v>69.583914711636112</v>
      </c>
      <c r="AB61">
        <f ca="1">IF($C61-AB$1&lt;År1,0,AA60*(1-VLOOKUP($A61,[1]Hugst!$R$5:$W$9,MATCH(ROUNDUP((AB$1)/10,0)*10,[1]Hugst!$R$4:$W$4,0))))</f>
        <v>69.73838040089737</v>
      </c>
      <c r="AC61">
        <f ca="1">IF($C61-AC$1&lt;År1,0,AB60*(1-VLOOKUP($A61,[1]Hugst!$R$5:$W$9,MATCH(ROUNDUP((AC$1)/10,0)*10,[1]Hugst!$R$4:$W$4,0))))</f>
        <v>69.893622299649508</v>
      </c>
      <c r="AD61">
        <f ca="1">IF($C61-AD$1&lt;År1,0,AC60*(1-VLOOKUP($A61,[1]Hugst!$R$5:$W$9,MATCH(ROUNDUP((AD$1)/10,0)*10,[1]Hugst!$R$4:$W$4,0))))</f>
        <v>70.049644308447569</v>
      </c>
      <c r="AE61">
        <f ca="1">IF($C61-AE$1&lt;År1,0,AD60*(1-VLOOKUP($A61,[1]Hugst!$R$5:$W$9,MATCH(ROUNDUP((AE$1)/10,0)*10,[1]Hugst!$R$4:$W$4,0))))</f>
        <v>70.206450347439187</v>
      </c>
      <c r="AF61">
        <f ca="1">IF($C61-AF$1&lt;År1,0,AE60*(1-VLOOKUP($A61,[1]Hugst!$R$5:$W$9,MATCH(ROUNDUP((AF$1)/10,0)*10,[1]Hugst!$R$4:$W$4,0))))</f>
        <v>70.364044356477635</v>
      </c>
      <c r="AG61">
        <f ca="1">IF($C61-AG$1&lt;År1,0,AF60*(1-VLOOKUP($A61,[1]Hugst!$R$5:$W$9,MATCH(ROUNDUP((AG$1)/10,0)*10,[1]Hugst!$R$4:$W$4,0))))</f>
        <v>70.522430295208849</v>
      </c>
      <c r="AH61">
        <f ca="1">IF($C61-AH$1&lt;År1,0,AG60*(1-VLOOKUP($A61,[1]Hugst!$R$5:$W$9,MATCH(ROUNDUP((AH$1)/10,0)*10,[1]Hugst!$R$4:$W$4,0))))</f>
        <v>70.681612143180047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88.571678906826662</v>
      </c>
      <c r="G62">
        <f ca="1">IF($C62-G$1&lt;År1,0,F61*(1-VLOOKUP($A62,[1]Hugst!$R$5:$W$9,MATCH(ROUNDUP((G$1)/10,0)*10,[1]Hugst!$R$4:$W$4,0))))</f>
        <v>88.710016368641448</v>
      </c>
      <c r="H62">
        <f ca="1">IF($C62-H$1&lt;År1,0,G61*(1-VLOOKUP($A62,[1]Hugst!$R$5:$W$9,MATCH(ROUNDUP((H$1)/10,0)*10,[1]Hugst!$R$4:$W$4,0))))</f>
        <v>88.849048993581221</v>
      </c>
      <c r="I62">
        <f ca="1">IF($C62-I$1&lt;År1,0,H61*(1-VLOOKUP($A62,[1]Hugst!$R$5:$W$9,MATCH(ROUNDUP((I$1)/10,0)*10,[1]Hugst!$R$4:$W$4,0))))</f>
        <v>88.988780274930321</v>
      </c>
      <c r="J62">
        <f ca="1">IF($C62-J$1&lt;År1,0,I61*(1-VLOOKUP($A62,[1]Hugst!$R$5:$W$9,MATCH(ROUNDUP((J$1)/10,0)*10,[1]Hugst!$R$4:$W$4,0))))</f>
        <v>89.12921372351974</v>
      </c>
      <c r="K62">
        <f ca="1">IF($C62-K$1&lt;År1,0,J61*(1-VLOOKUP($A62,[1]Hugst!$R$5:$W$9,MATCH(ROUNDUP((K$1)/10,0)*10,[1]Hugst!$R$4:$W$4,0))))</f>
        <v>89.27035286783115</v>
      </c>
      <c r="L62">
        <f ca="1">IF($C62-L$1&lt;År1,0,K61*(1-VLOOKUP($A62,[1]Hugst!$R$5:$W$9,MATCH(ROUNDUP((L$1)/10,0)*10,[1]Hugst!$R$4:$W$4,0))))</f>
        <v>89.41220125407466</v>
      </c>
      <c r="M62">
        <f ca="1">IF($C62-M$1&lt;År1,0,L61*(1-VLOOKUP($A62,[1]Hugst!$R$5:$W$9,MATCH(ROUNDUP((M$1)/10,0)*10,[1]Hugst!$R$4:$W$4,0))))</f>
        <v>89.554762446278403</v>
      </c>
      <c r="N62">
        <f ca="1">IF($C62-N$1&lt;År1,0,M61*(1-VLOOKUP($A62,[1]Hugst!$R$5:$W$9,MATCH(ROUNDUP((N$1)/10,0)*10,[1]Hugst!$R$4:$W$4,0))))</f>
        <v>89.698040026383126</v>
      </c>
      <c r="O62">
        <f ca="1">IF($C62-O$1&lt;År1,0,N61*(1-VLOOKUP($A62,[1]Hugst!$R$5:$W$9,MATCH(ROUNDUP((O$1)/10,0)*10,[1]Hugst!$R$4:$W$4,0))))</f>
        <v>89.842037594326996</v>
      </c>
      <c r="P62">
        <f ca="1">IF($C62-P$1&lt;År1,0,O61*(1-VLOOKUP($A62,[1]Hugst!$R$5:$W$9,MATCH(ROUNDUP((P$1)/10,0)*10,[1]Hugst!$R$4:$W$4,0))))</f>
        <v>89.98675876813985</v>
      </c>
      <c r="Q62">
        <f ca="1">IF($C62-Q$1&lt;År1,0,P61*(1-VLOOKUP($A62,[1]Hugst!$R$5:$W$9,MATCH(ROUNDUP((Q$1)/10,0)*10,[1]Hugst!$R$4:$W$4,0))))</f>
        <v>90.132207184033689</v>
      </c>
      <c r="R62">
        <f ca="1">IF($C62-R$1&lt;År1,0,Q61*(1-VLOOKUP($A62,[1]Hugst!$R$5:$W$9,MATCH(ROUNDUP((R$1)/10,0)*10,[1]Hugst!$R$4:$W$4,0))))</f>
        <v>90.278386496488167</v>
      </c>
      <c r="S62">
        <f ca="1">IF($C62-S$1&lt;År1,0,R61*(1-VLOOKUP($A62,[1]Hugst!$R$5:$W$9,MATCH(ROUNDUP((S$1)/10,0)*10,[1]Hugst!$R$4:$W$4,0))))</f>
        <v>90.425300378352233</v>
      </c>
      <c r="T62">
        <f ca="1">IF($C62-T$1&lt;År1,0,S61*(1-VLOOKUP($A62,[1]Hugst!$R$5:$W$9,MATCH(ROUNDUP((T$1)/10,0)*10,[1]Hugst!$R$4:$W$4,0))))</f>
        <v>90.572952520930073</v>
      </c>
      <c r="U62">
        <f ca="1">IF($C62-U$1&lt;År1,0,T61*(1-VLOOKUP($A62,[1]Hugst!$R$5:$W$9,MATCH(ROUNDUP((U$1)/10,0)*10,[1]Hugst!$R$4:$W$4,0))))</f>
        <v>90.721346634072461</v>
      </c>
      <c r="V62">
        <f ca="1">IF($C62-V$1&lt;År1,0,U61*(1-VLOOKUP($A62,[1]Hugst!$R$5:$W$9,MATCH(ROUNDUP((V$1)/10,0)*10,[1]Hugst!$R$4:$W$4,0))))</f>
        <v>90.870486446276232</v>
      </c>
      <c r="W62">
        <f ca="1">IF($C62-W$1&lt;År1,0,V61*(1-VLOOKUP($A62,[1]Hugst!$R$5:$W$9,MATCH(ROUNDUP((W$1)/10,0)*10,[1]Hugst!$R$4:$W$4,0))))</f>
        <v>91.02037570477313</v>
      </c>
      <c r="X62">
        <f ca="1">IF($C62-X$1&lt;År1,0,W61*(1-VLOOKUP($A62,[1]Hugst!$R$5:$W$9,MATCH(ROUNDUP((X$1)/10,0)*10,[1]Hugst!$R$4:$W$4,0))))</f>
        <v>91.171018175622692</v>
      </c>
      <c r="Y62">
        <f ca="1">IF($C62-Y$1&lt;År1,0,X61*(1-VLOOKUP($A62,[1]Hugst!$R$5:$W$9,MATCH(ROUNDUP((Y$1)/10,0)*10,[1]Hugst!$R$4:$W$4,0))))</f>
        <v>69.125136187275132</v>
      </c>
      <c r="Z62">
        <f ca="1">IF($C62-Z$1&lt;År1,0,Y61*(1-VLOOKUP($A62,[1]Hugst!$R$5:$W$9,MATCH(ROUNDUP((Z$1)/10,0)*10,[1]Hugst!$R$4:$W$4,0))))</f>
        <v>69.277296456813701</v>
      </c>
      <c r="AA62">
        <f ca="1">IF($C62-AA$1&lt;År1,0,Z61*(1-VLOOKUP($A62,[1]Hugst!$R$5:$W$9,MATCH(ROUNDUP((AA$1)/10,0)*10,[1]Hugst!$R$4:$W$4,0))))</f>
        <v>69.430221350823388</v>
      </c>
      <c r="AB62">
        <f ca="1">IF($C62-AB$1&lt;År1,0,AA61*(1-VLOOKUP($A62,[1]Hugst!$R$5:$W$9,MATCH(ROUNDUP((AB$1)/10,0)*10,[1]Hugst!$R$4:$W$4,0))))</f>
        <v>69.583914711636112</v>
      </c>
      <c r="AC62">
        <f ca="1">IF($C62-AC$1&lt;År1,0,AB61*(1-VLOOKUP($A62,[1]Hugst!$R$5:$W$9,MATCH(ROUNDUP((AC$1)/10,0)*10,[1]Hugst!$R$4:$W$4,0))))</f>
        <v>69.73838040089737</v>
      </c>
      <c r="AD62">
        <f ca="1">IF($C62-AD$1&lt;År1,0,AC61*(1-VLOOKUP($A62,[1]Hugst!$R$5:$W$9,MATCH(ROUNDUP((AD$1)/10,0)*10,[1]Hugst!$R$4:$W$4,0))))</f>
        <v>69.893622299649508</v>
      </c>
      <c r="AE62">
        <f ca="1">IF($C62-AE$1&lt;År1,0,AD61*(1-VLOOKUP($A62,[1]Hugst!$R$5:$W$9,MATCH(ROUNDUP((AE$1)/10,0)*10,[1]Hugst!$R$4:$W$4,0))))</f>
        <v>70.049644308447569</v>
      </c>
      <c r="AF62">
        <f ca="1">IF($C62-AF$1&lt;År1,0,AE61*(1-VLOOKUP($A62,[1]Hugst!$R$5:$W$9,MATCH(ROUNDUP((AF$1)/10,0)*10,[1]Hugst!$R$4:$W$4,0))))</f>
        <v>70.206450347439187</v>
      </c>
      <c r="AG62">
        <f ca="1">IF($C62-AG$1&lt;År1,0,AF61*(1-VLOOKUP($A62,[1]Hugst!$R$5:$W$9,MATCH(ROUNDUP((AG$1)/10,0)*10,[1]Hugst!$R$4:$W$4,0))))</f>
        <v>70.364044356477635</v>
      </c>
      <c r="AH62">
        <f ca="1">IF($C62-AH$1&lt;År1,0,AG61*(1-VLOOKUP($A62,[1]Hugst!$R$5:$W$9,MATCH(ROUNDUP((AH$1)/10,0)*10,[1]Hugst!$R$4:$W$4,0))))</f>
        <v>70.522430295208849</v>
      </c>
      <c r="AI62">
        <f ca="1">IF($C62-AI$1&lt;År1,0,AH61*(1-VLOOKUP($A62,[1]Hugst!$R$5:$W$9,MATCH(ROUNDUP((AI$1)/10,0)*10,[1]Hugst!$R$4:$W$4,0))))</f>
        <v>70.681612143180047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0.23309893366376855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88.667132065983367</v>
      </c>
      <c r="G63">
        <f ca="1">IF($C63-G$1&lt;År1,0,F62*(1-VLOOKUP($A63,[1]Hugst!$R$5:$W$9,MATCH(ROUNDUP((G$1)/10,0)*10,[1]Hugst!$R$4:$W$4,0))))</f>
        <v>88.571678906826662</v>
      </c>
      <c r="H63">
        <f ca="1">IF($C63-H$1&lt;År1,0,G62*(1-VLOOKUP($A63,[1]Hugst!$R$5:$W$9,MATCH(ROUNDUP((H$1)/10,0)*10,[1]Hugst!$R$4:$W$4,0))))</f>
        <v>88.710016368641448</v>
      </c>
      <c r="I63">
        <f ca="1">IF($C63-I$1&lt;År1,0,H62*(1-VLOOKUP($A63,[1]Hugst!$R$5:$W$9,MATCH(ROUNDUP((I$1)/10,0)*10,[1]Hugst!$R$4:$W$4,0))))</f>
        <v>88.849048993581221</v>
      </c>
      <c r="J63">
        <f ca="1">IF($C63-J$1&lt;År1,0,I62*(1-VLOOKUP($A63,[1]Hugst!$R$5:$W$9,MATCH(ROUNDUP((J$1)/10,0)*10,[1]Hugst!$R$4:$W$4,0))))</f>
        <v>88.988780274930321</v>
      </c>
      <c r="K63">
        <f ca="1">IF($C63-K$1&lt;År1,0,J62*(1-VLOOKUP($A63,[1]Hugst!$R$5:$W$9,MATCH(ROUNDUP((K$1)/10,0)*10,[1]Hugst!$R$4:$W$4,0))))</f>
        <v>89.12921372351974</v>
      </c>
      <c r="L63">
        <f ca="1">IF($C63-L$1&lt;År1,0,K62*(1-VLOOKUP($A63,[1]Hugst!$R$5:$W$9,MATCH(ROUNDUP((L$1)/10,0)*10,[1]Hugst!$R$4:$W$4,0))))</f>
        <v>89.27035286783115</v>
      </c>
      <c r="M63">
        <f ca="1">IF($C63-M$1&lt;År1,0,L62*(1-VLOOKUP($A63,[1]Hugst!$R$5:$W$9,MATCH(ROUNDUP((M$1)/10,0)*10,[1]Hugst!$R$4:$W$4,0))))</f>
        <v>89.41220125407466</v>
      </c>
      <c r="N63">
        <f ca="1">IF($C63-N$1&lt;År1,0,M62*(1-VLOOKUP($A63,[1]Hugst!$R$5:$W$9,MATCH(ROUNDUP((N$1)/10,0)*10,[1]Hugst!$R$4:$W$4,0))))</f>
        <v>89.554762446278403</v>
      </c>
      <c r="O63">
        <f ca="1">IF($C63-O$1&lt;År1,0,N62*(1-VLOOKUP($A63,[1]Hugst!$R$5:$W$9,MATCH(ROUNDUP((O$1)/10,0)*10,[1]Hugst!$R$4:$W$4,0))))</f>
        <v>89.698040026383126</v>
      </c>
      <c r="P63">
        <f ca="1">IF($C63-P$1&lt;År1,0,O62*(1-VLOOKUP($A63,[1]Hugst!$R$5:$W$9,MATCH(ROUNDUP((P$1)/10,0)*10,[1]Hugst!$R$4:$W$4,0))))</f>
        <v>89.842037594326996</v>
      </c>
      <c r="Q63">
        <f ca="1">IF($C63-Q$1&lt;År1,0,P62*(1-VLOOKUP($A63,[1]Hugst!$R$5:$W$9,MATCH(ROUNDUP((Q$1)/10,0)*10,[1]Hugst!$R$4:$W$4,0))))</f>
        <v>89.98675876813985</v>
      </c>
      <c r="R63">
        <f ca="1">IF($C63-R$1&lt;År1,0,Q62*(1-VLOOKUP($A63,[1]Hugst!$R$5:$W$9,MATCH(ROUNDUP((R$1)/10,0)*10,[1]Hugst!$R$4:$W$4,0))))</f>
        <v>90.132207184033689</v>
      </c>
      <c r="S63">
        <f ca="1">IF($C63-S$1&lt;År1,0,R62*(1-VLOOKUP($A63,[1]Hugst!$R$5:$W$9,MATCH(ROUNDUP((S$1)/10,0)*10,[1]Hugst!$R$4:$W$4,0))))</f>
        <v>90.278386496488167</v>
      </c>
      <c r="T63">
        <f ca="1">IF($C63-T$1&lt;År1,0,S62*(1-VLOOKUP($A63,[1]Hugst!$R$5:$W$9,MATCH(ROUNDUP((T$1)/10,0)*10,[1]Hugst!$R$4:$W$4,0))))</f>
        <v>90.425300378352233</v>
      </c>
      <c r="U63">
        <f ca="1">IF($C63-U$1&lt;År1,0,T62*(1-VLOOKUP($A63,[1]Hugst!$R$5:$W$9,MATCH(ROUNDUP((U$1)/10,0)*10,[1]Hugst!$R$4:$W$4,0))))</f>
        <v>90.572952520930073</v>
      </c>
      <c r="V63">
        <f ca="1">IF($C63-V$1&lt;År1,0,U62*(1-VLOOKUP($A63,[1]Hugst!$R$5:$W$9,MATCH(ROUNDUP((V$1)/10,0)*10,[1]Hugst!$R$4:$W$4,0))))</f>
        <v>90.721346634072461</v>
      </c>
      <c r="W63">
        <f ca="1">IF($C63-W$1&lt;År1,0,V62*(1-VLOOKUP($A63,[1]Hugst!$R$5:$W$9,MATCH(ROUNDUP((W$1)/10,0)*10,[1]Hugst!$R$4:$W$4,0))))</f>
        <v>90.870486446276232</v>
      </c>
      <c r="X63">
        <f ca="1">IF($C63-X$1&lt;År1,0,W62*(1-VLOOKUP($A63,[1]Hugst!$R$5:$W$9,MATCH(ROUNDUP((X$1)/10,0)*10,[1]Hugst!$R$4:$W$4,0))))</f>
        <v>91.02037570477313</v>
      </c>
      <c r="Y63">
        <f ca="1">IF($C63-Y$1&lt;År1,0,X62*(1-VLOOKUP($A63,[1]Hugst!$R$5:$W$9,MATCH(ROUNDUP((Y$1)/10,0)*10,[1]Hugst!$R$4:$W$4,0))))</f>
        <v>91.171018175622692</v>
      </c>
      <c r="Z63">
        <f ca="1">IF($C63-Z$1&lt;År1,0,Y62*(1-VLOOKUP($A63,[1]Hugst!$R$5:$W$9,MATCH(ROUNDUP((Z$1)/10,0)*10,[1]Hugst!$R$4:$W$4,0))))</f>
        <v>69.125136187275132</v>
      </c>
      <c r="AA63">
        <f ca="1">IF($C63-AA$1&lt;År1,0,Z62*(1-VLOOKUP($A63,[1]Hugst!$R$5:$W$9,MATCH(ROUNDUP((AA$1)/10,0)*10,[1]Hugst!$R$4:$W$4,0))))</f>
        <v>69.277296456813701</v>
      </c>
      <c r="AB63">
        <f ca="1">IF($C63-AB$1&lt;År1,0,AA62*(1-VLOOKUP($A63,[1]Hugst!$R$5:$W$9,MATCH(ROUNDUP((AB$1)/10,0)*10,[1]Hugst!$R$4:$W$4,0))))</f>
        <v>69.430221350823388</v>
      </c>
      <c r="AC63">
        <f ca="1">IF($C63-AC$1&lt;År1,0,AB62*(1-VLOOKUP($A63,[1]Hugst!$R$5:$W$9,MATCH(ROUNDUP((AC$1)/10,0)*10,[1]Hugst!$R$4:$W$4,0))))</f>
        <v>69.583914711636112</v>
      </c>
      <c r="AD63">
        <f ca="1">IF($C63-AD$1&lt;År1,0,AC62*(1-VLOOKUP($A63,[1]Hugst!$R$5:$W$9,MATCH(ROUNDUP((AD$1)/10,0)*10,[1]Hugst!$R$4:$W$4,0))))</f>
        <v>69.73838040089737</v>
      </c>
      <c r="AE63">
        <f ca="1">IF($C63-AE$1&lt;År1,0,AD62*(1-VLOOKUP($A63,[1]Hugst!$R$5:$W$9,MATCH(ROUNDUP((AE$1)/10,0)*10,[1]Hugst!$R$4:$W$4,0))))</f>
        <v>69.893622299649508</v>
      </c>
      <c r="AF63">
        <f ca="1">IF($C63-AF$1&lt;År1,0,AE62*(1-VLOOKUP($A63,[1]Hugst!$R$5:$W$9,MATCH(ROUNDUP((AF$1)/10,0)*10,[1]Hugst!$R$4:$W$4,0))))</f>
        <v>70.049644308447569</v>
      </c>
      <c r="AG63">
        <f ca="1">IF($C63-AG$1&lt;År1,0,AF62*(1-VLOOKUP($A63,[1]Hugst!$R$5:$W$9,MATCH(ROUNDUP((AG$1)/10,0)*10,[1]Hugst!$R$4:$W$4,0))))</f>
        <v>70.206450347439187</v>
      </c>
      <c r="AH63">
        <f ca="1">IF($C63-AH$1&lt;År1,0,AG62*(1-VLOOKUP($A63,[1]Hugst!$R$5:$W$9,MATCH(ROUNDUP((AH$1)/10,0)*10,[1]Hugst!$R$4:$W$4,0))))</f>
        <v>70.364044356477635</v>
      </c>
      <c r="AI63">
        <f ca="1">IF($C63-AI$1&lt;År1,0,AH62*(1-VLOOKUP($A63,[1]Hugst!$R$5:$W$9,MATCH(ROUNDUP((AI$1)/10,0)*10,[1]Hugst!$R$4:$W$4,0))))</f>
        <v>70.522430295208849</v>
      </c>
      <c r="AJ63">
        <f ca="1">IF($C63-AJ$1&lt;År1,0,AI62*(1-VLOOKUP($A63,[1]Hugst!$R$5:$W$9,MATCH(ROUNDUP((AJ$1)/10,0)*10,[1]Hugst!$R$4:$W$4,0))))</f>
        <v>70.448513209516364</v>
      </c>
      <c r="AL63">
        <f ca="1">SUM(F63:AJ63)</f>
        <v>2564.5117507552504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3280.8031422265312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3275.9086663582484</v>
      </c>
      <c r="G65">
        <f ca="1">IF($C65-G$1&lt;År1,0,F64*(1-VLOOKUP($A65,[1]Hugst!$R$5:$W$9,MATCH(ROUNDUP((G$1)/10,0)*10,[1]Hugst!$R$4:$W$4,0))))</f>
        <v>3280.8031422265312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3271.0386628693586</v>
      </c>
      <c r="G66">
        <f ca="1">IF($C66-G$1&lt;År1,0,F65*(1-VLOOKUP($A66,[1]Hugst!$R$5:$W$9,MATCH(ROUNDUP((G$1)/10,0)*10,[1]Hugst!$R$4:$W$4,0))))</f>
        <v>3275.9086663582484</v>
      </c>
      <c r="H66">
        <f ca="1">IF($C66-H$1&lt;År1,0,G65*(1-VLOOKUP($A66,[1]Hugst!$R$5:$W$9,MATCH(ROUNDUP((H$1)/10,0)*10,[1]Hugst!$R$4:$W$4,0))))</f>
        <v>3280.8031422265312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3266.1930093978795</v>
      </c>
      <c r="G67">
        <f ca="1">IF($C67-G$1&lt;År1,0,F66*(1-VLOOKUP($A67,[1]Hugst!$R$5:$W$9,MATCH(ROUNDUP((G$1)/10,0)*10,[1]Hugst!$R$4:$W$4,0))))</f>
        <v>3271.0386628693586</v>
      </c>
      <c r="H67">
        <f ca="1">IF($C67-H$1&lt;År1,0,G66*(1-VLOOKUP($A67,[1]Hugst!$R$5:$W$9,MATCH(ROUNDUP((H$1)/10,0)*10,[1]Hugst!$R$4:$W$4,0))))</f>
        <v>3275.9086663582484</v>
      </c>
      <c r="I67">
        <f ca="1">IF($C67-I$1&lt;År1,0,H66*(1-VLOOKUP($A67,[1]Hugst!$R$5:$W$9,MATCH(ROUNDUP((I$1)/10,0)*10,[1]Hugst!$R$4:$W$4,0))))</f>
        <v>3280.8031422265312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3261.3715841937615</v>
      </c>
      <c r="G68">
        <f ca="1">IF($C68-G$1&lt;År1,0,F67*(1-VLOOKUP($A68,[1]Hugst!$R$5:$W$9,MATCH(ROUNDUP((G$1)/10,0)*10,[1]Hugst!$R$4:$W$4,0))))</f>
        <v>3266.1930093978795</v>
      </c>
      <c r="H68">
        <f ca="1">IF($C68-H$1&lt;År1,0,G67*(1-VLOOKUP($A68,[1]Hugst!$R$5:$W$9,MATCH(ROUNDUP((H$1)/10,0)*10,[1]Hugst!$R$4:$W$4,0))))</f>
        <v>3271.0386628693586</v>
      </c>
      <c r="I68">
        <f ca="1">IF($C68-I$1&lt;År1,0,H67*(1-VLOOKUP($A68,[1]Hugst!$R$5:$W$9,MATCH(ROUNDUP((I$1)/10,0)*10,[1]Hugst!$R$4:$W$4,0))))</f>
        <v>3275.9086663582484</v>
      </c>
      <c r="J68">
        <f ca="1">IF($C68-J$1&lt;År1,0,I67*(1-VLOOKUP($A68,[1]Hugst!$R$5:$W$9,MATCH(ROUNDUP((J$1)/10,0)*10,[1]Hugst!$R$4:$W$4,0))))</f>
        <v>3280.8031422265312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3256.574266115661</v>
      </c>
      <c r="G69">
        <f ca="1">IF($C69-G$1&lt;År1,0,F68*(1-VLOOKUP($A69,[1]Hugst!$R$5:$W$9,MATCH(ROUNDUP((G$1)/10,0)*10,[1]Hugst!$R$4:$W$4,0))))</f>
        <v>3261.3715841937615</v>
      </c>
      <c r="H69">
        <f ca="1">IF($C69-H$1&lt;År1,0,G68*(1-VLOOKUP($A69,[1]Hugst!$R$5:$W$9,MATCH(ROUNDUP((H$1)/10,0)*10,[1]Hugst!$R$4:$W$4,0))))</f>
        <v>3266.1930093978795</v>
      </c>
      <c r="I69">
        <f ca="1">IF($C69-I$1&lt;År1,0,H68*(1-VLOOKUP($A69,[1]Hugst!$R$5:$W$9,MATCH(ROUNDUP((I$1)/10,0)*10,[1]Hugst!$R$4:$W$4,0))))</f>
        <v>3271.0386628693586</v>
      </c>
      <c r="J69">
        <f ca="1">IF($C69-J$1&lt;År1,0,I68*(1-VLOOKUP($A69,[1]Hugst!$R$5:$W$9,MATCH(ROUNDUP((J$1)/10,0)*10,[1]Hugst!$R$4:$W$4,0))))</f>
        <v>3275.9086663582484</v>
      </c>
      <c r="K69">
        <f ca="1">IF($C69-K$1&lt;År1,0,J68*(1-VLOOKUP($A69,[1]Hugst!$R$5:$W$9,MATCH(ROUNDUP((K$1)/10,0)*10,[1]Hugst!$R$4:$W$4,0))))</f>
        <v>3280.8031422265312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3251.8009346279605</v>
      </c>
      <c r="G70">
        <f ca="1">IF($C70-G$1&lt;År1,0,F69*(1-VLOOKUP($A70,[1]Hugst!$R$5:$W$9,MATCH(ROUNDUP((G$1)/10,0)*10,[1]Hugst!$R$4:$W$4,0))))</f>
        <v>3256.574266115661</v>
      </c>
      <c r="H70">
        <f ca="1">IF($C70-H$1&lt;År1,0,G69*(1-VLOOKUP($A70,[1]Hugst!$R$5:$W$9,MATCH(ROUNDUP((H$1)/10,0)*10,[1]Hugst!$R$4:$W$4,0))))</f>
        <v>3261.3715841937615</v>
      </c>
      <c r="I70">
        <f ca="1">IF($C70-I$1&lt;År1,0,H69*(1-VLOOKUP($A70,[1]Hugst!$R$5:$W$9,MATCH(ROUNDUP((I$1)/10,0)*10,[1]Hugst!$R$4:$W$4,0))))</f>
        <v>3266.1930093978795</v>
      </c>
      <c r="J70">
        <f ca="1">IF($C70-J$1&lt;År1,0,I69*(1-VLOOKUP($A70,[1]Hugst!$R$5:$W$9,MATCH(ROUNDUP((J$1)/10,0)*10,[1]Hugst!$R$4:$W$4,0))))</f>
        <v>3271.0386628693586</v>
      </c>
      <c r="K70">
        <f ca="1">IF($C70-K$1&lt;År1,0,J69*(1-VLOOKUP($A70,[1]Hugst!$R$5:$W$9,MATCH(ROUNDUP((K$1)/10,0)*10,[1]Hugst!$R$4:$W$4,0))))</f>
        <v>3275.9086663582484</v>
      </c>
      <c r="L70">
        <f ca="1">IF($C70-L$1&lt;År1,0,K69*(1-VLOOKUP($A70,[1]Hugst!$R$5:$W$9,MATCH(ROUNDUP((L$1)/10,0)*10,[1]Hugst!$R$4:$W$4,0))))</f>
        <v>3280.8031422265312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3247.0514697977023</v>
      </c>
      <c r="G71">
        <f ca="1">IF($C71-G$1&lt;År1,0,F70*(1-VLOOKUP($A71,[1]Hugst!$R$5:$W$9,MATCH(ROUNDUP((G$1)/10,0)*10,[1]Hugst!$R$4:$W$4,0))))</f>
        <v>3251.8009346279605</v>
      </c>
      <c r="H71">
        <f ca="1">IF($C71-H$1&lt;År1,0,G70*(1-VLOOKUP($A71,[1]Hugst!$R$5:$W$9,MATCH(ROUNDUP((H$1)/10,0)*10,[1]Hugst!$R$4:$W$4,0))))</f>
        <v>3256.574266115661</v>
      </c>
      <c r="I71">
        <f ca="1">IF($C71-I$1&lt;År1,0,H70*(1-VLOOKUP($A71,[1]Hugst!$R$5:$W$9,MATCH(ROUNDUP((I$1)/10,0)*10,[1]Hugst!$R$4:$W$4,0))))</f>
        <v>3261.3715841937615</v>
      </c>
      <c r="J71">
        <f ca="1">IF($C71-J$1&lt;År1,0,I70*(1-VLOOKUP($A71,[1]Hugst!$R$5:$W$9,MATCH(ROUNDUP((J$1)/10,0)*10,[1]Hugst!$R$4:$W$4,0))))</f>
        <v>3266.1930093978795</v>
      </c>
      <c r="K71">
        <f ca="1">IF($C71-K$1&lt;År1,0,J70*(1-VLOOKUP($A71,[1]Hugst!$R$5:$W$9,MATCH(ROUNDUP((K$1)/10,0)*10,[1]Hugst!$R$4:$W$4,0))))</f>
        <v>3271.0386628693586</v>
      </c>
      <c r="L71">
        <f ca="1">IF($C71-L$1&lt;År1,0,K70*(1-VLOOKUP($A71,[1]Hugst!$R$5:$W$9,MATCH(ROUNDUP((L$1)/10,0)*10,[1]Hugst!$R$4:$W$4,0))))</f>
        <v>3275.9086663582484</v>
      </c>
      <c r="M71">
        <f ca="1">IF($C71-M$1&lt;År1,0,L70*(1-VLOOKUP($A71,[1]Hugst!$R$5:$W$9,MATCH(ROUNDUP((M$1)/10,0)*10,[1]Hugst!$R$4:$W$4,0))))</f>
        <v>3280.8031422265312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3242.3257522916001</v>
      </c>
      <c r="G72">
        <f ca="1">IF($C72-G$1&lt;År1,0,F71*(1-VLOOKUP($A72,[1]Hugst!$R$5:$W$9,MATCH(ROUNDUP((G$1)/10,0)*10,[1]Hugst!$R$4:$W$4,0))))</f>
        <v>3247.0514697977023</v>
      </c>
      <c r="H72">
        <f ca="1">IF($C72-H$1&lt;År1,0,G71*(1-VLOOKUP($A72,[1]Hugst!$R$5:$W$9,MATCH(ROUNDUP((H$1)/10,0)*10,[1]Hugst!$R$4:$W$4,0))))</f>
        <v>3251.8009346279605</v>
      </c>
      <c r="I72">
        <f ca="1">IF($C72-I$1&lt;År1,0,H71*(1-VLOOKUP($A72,[1]Hugst!$R$5:$W$9,MATCH(ROUNDUP((I$1)/10,0)*10,[1]Hugst!$R$4:$W$4,0))))</f>
        <v>3256.574266115661</v>
      </c>
      <c r="J72">
        <f ca="1">IF($C72-J$1&lt;År1,0,I71*(1-VLOOKUP($A72,[1]Hugst!$R$5:$W$9,MATCH(ROUNDUP((J$1)/10,0)*10,[1]Hugst!$R$4:$W$4,0))))</f>
        <v>3261.3715841937615</v>
      </c>
      <c r="K72">
        <f ca="1">IF($C72-K$1&lt;År1,0,J71*(1-VLOOKUP($A72,[1]Hugst!$R$5:$W$9,MATCH(ROUNDUP((K$1)/10,0)*10,[1]Hugst!$R$4:$W$4,0))))</f>
        <v>3266.1930093978795</v>
      </c>
      <c r="L72">
        <f ca="1">IF($C72-L$1&lt;År1,0,K71*(1-VLOOKUP($A72,[1]Hugst!$R$5:$W$9,MATCH(ROUNDUP((L$1)/10,0)*10,[1]Hugst!$R$4:$W$4,0))))</f>
        <v>3271.0386628693586</v>
      </c>
      <c r="M72">
        <f ca="1">IF($C72-M$1&lt;År1,0,L71*(1-VLOOKUP($A72,[1]Hugst!$R$5:$W$9,MATCH(ROUNDUP((M$1)/10,0)*10,[1]Hugst!$R$4:$W$4,0))))</f>
        <v>3275.9086663582484</v>
      </c>
      <c r="N72">
        <f ca="1">IF($C72-N$1&lt;År1,0,M71*(1-VLOOKUP($A72,[1]Hugst!$R$5:$W$9,MATCH(ROUNDUP((N$1)/10,0)*10,[1]Hugst!$R$4:$W$4,0))))</f>
        <v>3280.8031422265312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3237.6236633729714</v>
      </c>
      <c r="G73">
        <f ca="1">IF($C73-G$1&lt;År1,0,F72*(1-VLOOKUP($A73,[1]Hugst!$R$5:$W$9,MATCH(ROUNDUP((G$1)/10,0)*10,[1]Hugst!$R$4:$W$4,0))))</f>
        <v>3242.3257522916001</v>
      </c>
      <c r="H73">
        <f ca="1">IF($C73-H$1&lt;År1,0,G72*(1-VLOOKUP($A73,[1]Hugst!$R$5:$W$9,MATCH(ROUNDUP((H$1)/10,0)*10,[1]Hugst!$R$4:$W$4,0))))</f>
        <v>3247.0514697977023</v>
      </c>
      <c r="I73">
        <f ca="1">IF($C73-I$1&lt;År1,0,H72*(1-VLOOKUP($A73,[1]Hugst!$R$5:$W$9,MATCH(ROUNDUP((I$1)/10,0)*10,[1]Hugst!$R$4:$W$4,0))))</f>
        <v>3251.8009346279605</v>
      </c>
      <c r="J73">
        <f ca="1">IF($C73-J$1&lt;År1,0,I72*(1-VLOOKUP($A73,[1]Hugst!$R$5:$W$9,MATCH(ROUNDUP((J$1)/10,0)*10,[1]Hugst!$R$4:$W$4,0))))</f>
        <v>3256.574266115661</v>
      </c>
      <c r="K73">
        <f ca="1">IF($C73-K$1&lt;År1,0,J72*(1-VLOOKUP($A73,[1]Hugst!$R$5:$W$9,MATCH(ROUNDUP((K$1)/10,0)*10,[1]Hugst!$R$4:$W$4,0))))</f>
        <v>3261.3715841937615</v>
      </c>
      <c r="L73">
        <f ca="1">IF($C73-L$1&lt;År1,0,K72*(1-VLOOKUP($A73,[1]Hugst!$R$5:$W$9,MATCH(ROUNDUP((L$1)/10,0)*10,[1]Hugst!$R$4:$W$4,0))))</f>
        <v>3266.1930093978795</v>
      </c>
      <c r="M73">
        <f ca="1">IF($C73-M$1&lt;År1,0,L72*(1-VLOOKUP($A73,[1]Hugst!$R$5:$W$9,MATCH(ROUNDUP((M$1)/10,0)*10,[1]Hugst!$R$4:$W$4,0))))</f>
        <v>3271.0386628693586</v>
      </c>
      <c r="N73">
        <f ca="1">IF($C73-N$1&lt;År1,0,M72*(1-VLOOKUP($A73,[1]Hugst!$R$5:$W$9,MATCH(ROUNDUP((N$1)/10,0)*10,[1]Hugst!$R$4:$W$4,0))))</f>
        <v>3275.9086663582484</v>
      </c>
      <c r="O73">
        <f ca="1">IF($C73-O$1&lt;År1,0,N72*(1-VLOOKUP($A73,[1]Hugst!$R$5:$W$9,MATCH(ROUNDUP((O$1)/10,0)*10,[1]Hugst!$R$4:$W$4,0))))</f>
        <v>3280.8031422265312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5.0046149627196428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3237.9496998617469</v>
      </c>
      <c r="G74">
        <f ca="1">IF($C74-G$1&lt;År1,0,F73*(1-VLOOKUP($A74,[1]Hugst!$R$5:$W$9,MATCH(ROUNDUP((G$1)/10,0)*10,[1]Hugst!$R$4:$W$4,0))))</f>
        <v>3237.6236633729714</v>
      </c>
      <c r="H74">
        <f ca="1">IF($C74-H$1&lt;År1,0,G73*(1-VLOOKUP($A74,[1]Hugst!$R$5:$W$9,MATCH(ROUNDUP((H$1)/10,0)*10,[1]Hugst!$R$4:$W$4,0))))</f>
        <v>3242.3257522916001</v>
      </c>
      <c r="I74">
        <f ca="1">IF($C74-I$1&lt;År1,0,H73*(1-VLOOKUP($A74,[1]Hugst!$R$5:$W$9,MATCH(ROUNDUP((I$1)/10,0)*10,[1]Hugst!$R$4:$W$4,0))))</f>
        <v>3247.0514697977023</v>
      </c>
      <c r="J74">
        <f ca="1">IF($C74-J$1&lt;År1,0,I73*(1-VLOOKUP($A74,[1]Hugst!$R$5:$W$9,MATCH(ROUNDUP((J$1)/10,0)*10,[1]Hugst!$R$4:$W$4,0))))</f>
        <v>3251.8009346279605</v>
      </c>
      <c r="K74">
        <f ca="1">IF($C74-K$1&lt;År1,0,J73*(1-VLOOKUP($A74,[1]Hugst!$R$5:$W$9,MATCH(ROUNDUP((K$1)/10,0)*10,[1]Hugst!$R$4:$W$4,0))))</f>
        <v>3256.574266115661</v>
      </c>
      <c r="L74">
        <f ca="1">IF($C74-L$1&lt;År1,0,K73*(1-VLOOKUP($A74,[1]Hugst!$R$5:$W$9,MATCH(ROUNDUP((L$1)/10,0)*10,[1]Hugst!$R$4:$W$4,0))))</f>
        <v>3261.3715841937615</v>
      </c>
      <c r="M74">
        <f ca="1">IF($C74-M$1&lt;År1,0,L73*(1-VLOOKUP($A74,[1]Hugst!$R$5:$W$9,MATCH(ROUNDUP((M$1)/10,0)*10,[1]Hugst!$R$4:$W$4,0))))</f>
        <v>3266.1930093978795</v>
      </c>
      <c r="N74">
        <f ca="1">IF($C74-N$1&lt;År1,0,M73*(1-VLOOKUP($A74,[1]Hugst!$R$5:$W$9,MATCH(ROUNDUP((N$1)/10,0)*10,[1]Hugst!$R$4:$W$4,0))))</f>
        <v>3271.0386628693586</v>
      </c>
      <c r="O74">
        <f ca="1">IF($C74-O$1&lt;År1,0,N73*(1-VLOOKUP($A74,[1]Hugst!$R$5:$W$9,MATCH(ROUNDUP((O$1)/10,0)*10,[1]Hugst!$R$4:$W$4,0))))</f>
        <v>3275.9086663582484</v>
      </c>
      <c r="P74">
        <f ca="1">IF($C74-P$1&lt;År1,0,O73*(1-VLOOKUP($A74,[1]Hugst!$R$5:$W$9,MATCH(ROUNDUP((P$1)/10,0)*10,[1]Hugst!$R$4:$W$4,0))))</f>
        <v>3275.7985272638125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9.9941296173929004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4553.6600109773863</v>
      </c>
      <c r="G75">
        <f ca="1">IF($C75-G$1&lt;År1,0,F74*(1-VLOOKUP($A75,[1]Hugst!$R$5:$W$9,MATCH(ROUNDUP((G$1)/10,0)*10,[1]Hugst!$R$4:$W$4,0))))</f>
        <v>3237.9496998617469</v>
      </c>
      <c r="H75">
        <f ca="1">IF($C75-H$1&lt;År1,0,G74*(1-VLOOKUP($A75,[1]Hugst!$R$5:$W$9,MATCH(ROUNDUP((H$1)/10,0)*10,[1]Hugst!$R$4:$W$4,0))))</f>
        <v>3237.6236633729714</v>
      </c>
      <c r="I75">
        <f ca="1">IF($C75-I$1&lt;År1,0,H74*(1-VLOOKUP($A75,[1]Hugst!$R$5:$W$9,MATCH(ROUNDUP((I$1)/10,0)*10,[1]Hugst!$R$4:$W$4,0))))</f>
        <v>3242.3257522916001</v>
      </c>
      <c r="J75">
        <f ca="1">IF($C75-J$1&lt;År1,0,I74*(1-VLOOKUP($A75,[1]Hugst!$R$5:$W$9,MATCH(ROUNDUP((J$1)/10,0)*10,[1]Hugst!$R$4:$W$4,0))))</f>
        <v>3247.0514697977023</v>
      </c>
      <c r="K75">
        <f ca="1">IF($C75-K$1&lt;År1,0,J74*(1-VLOOKUP($A75,[1]Hugst!$R$5:$W$9,MATCH(ROUNDUP((K$1)/10,0)*10,[1]Hugst!$R$4:$W$4,0))))</f>
        <v>3251.8009346279605</v>
      </c>
      <c r="L75">
        <f ca="1">IF($C75-L$1&lt;År1,0,K74*(1-VLOOKUP($A75,[1]Hugst!$R$5:$W$9,MATCH(ROUNDUP((L$1)/10,0)*10,[1]Hugst!$R$4:$W$4,0))))</f>
        <v>3256.574266115661</v>
      </c>
      <c r="M75">
        <f ca="1">IF($C75-M$1&lt;År1,0,L74*(1-VLOOKUP($A75,[1]Hugst!$R$5:$W$9,MATCH(ROUNDUP((M$1)/10,0)*10,[1]Hugst!$R$4:$W$4,0))))</f>
        <v>3261.3715841937615</v>
      </c>
      <c r="N75">
        <f ca="1">IF($C75-N$1&lt;År1,0,M74*(1-VLOOKUP($A75,[1]Hugst!$R$5:$W$9,MATCH(ROUNDUP((N$1)/10,0)*10,[1]Hugst!$R$4:$W$4,0))))</f>
        <v>3266.1930093978795</v>
      </c>
      <c r="O75">
        <f ca="1">IF($C75-O$1&lt;År1,0,N74*(1-VLOOKUP($A75,[1]Hugst!$R$5:$W$9,MATCH(ROUNDUP((O$1)/10,0)*10,[1]Hugst!$R$4:$W$4,0))))</f>
        <v>3271.0386628693586</v>
      </c>
      <c r="P75">
        <f ca="1">IF($C75-P$1&lt;År1,0,O74*(1-VLOOKUP($A75,[1]Hugst!$R$5:$W$9,MATCH(ROUNDUP((P$1)/10,0)*10,[1]Hugst!$R$4:$W$4,0))))</f>
        <v>3270.9115175451593</v>
      </c>
      <c r="Q75">
        <f ca="1">IF($C75-Q$1&lt;År1,0,P74*(1-VLOOKUP($A75,[1]Hugst!$R$5:$W$9,MATCH(ROUNDUP((Q$1)/10,0)*10,[1]Hugst!$R$4:$W$4,0))))</f>
        <v>3270.8015464595119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14.968604329122172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4554.0025760354492</v>
      </c>
      <c r="G76">
        <f ca="1">IF($C76-G$1&lt;År1,0,F75*(1-VLOOKUP($A76,[1]Hugst!$R$5:$W$9,MATCH(ROUNDUP((G$1)/10,0)*10,[1]Hugst!$R$4:$W$4,0))))</f>
        <v>4553.6600109773863</v>
      </c>
      <c r="H76">
        <f ca="1">IF($C76-H$1&lt;År1,0,G75*(1-VLOOKUP($A76,[1]Hugst!$R$5:$W$9,MATCH(ROUNDUP((H$1)/10,0)*10,[1]Hugst!$R$4:$W$4,0))))</f>
        <v>3237.9496998617469</v>
      </c>
      <c r="I76">
        <f ca="1">IF($C76-I$1&lt;År1,0,H75*(1-VLOOKUP($A76,[1]Hugst!$R$5:$W$9,MATCH(ROUNDUP((I$1)/10,0)*10,[1]Hugst!$R$4:$W$4,0))))</f>
        <v>3237.6236633729714</v>
      </c>
      <c r="J76">
        <f ca="1">IF($C76-J$1&lt;År1,0,I75*(1-VLOOKUP($A76,[1]Hugst!$R$5:$W$9,MATCH(ROUNDUP((J$1)/10,0)*10,[1]Hugst!$R$4:$W$4,0))))</f>
        <v>3242.3257522916001</v>
      </c>
      <c r="K76">
        <f ca="1">IF($C76-K$1&lt;År1,0,J75*(1-VLOOKUP($A76,[1]Hugst!$R$5:$W$9,MATCH(ROUNDUP((K$1)/10,0)*10,[1]Hugst!$R$4:$W$4,0))))</f>
        <v>3247.0514697977023</v>
      </c>
      <c r="L76">
        <f ca="1">IF($C76-L$1&lt;År1,0,K75*(1-VLOOKUP($A76,[1]Hugst!$R$5:$W$9,MATCH(ROUNDUP((L$1)/10,0)*10,[1]Hugst!$R$4:$W$4,0))))</f>
        <v>3251.8009346279605</v>
      </c>
      <c r="M76">
        <f ca="1">IF($C76-M$1&lt;År1,0,L75*(1-VLOOKUP($A76,[1]Hugst!$R$5:$W$9,MATCH(ROUNDUP((M$1)/10,0)*10,[1]Hugst!$R$4:$W$4,0))))</f>
        <v>3256.574266115661</v>
      </c>
      <c r="N76">
        <f ca="1">IF($C76-N$1&lt;År1,0,M75*(1-VLOOKUP($A76,[1]Hugst!$R$5:$W$9,MATCH(ROUNDUP((N$1)/10,0)*10,[1]Hugst!$R$4:$W$4,0))))</f>
        <v>3261.3715841937615</v>
      </c>
      <c r="O76">
        <f ca="1">IF($C76-O$1&lt;År1,0,N75*(1-VLOOKUP($A76,[1]Hugst!$R$5:$W$9,MATCH(ROUNDUP((O$1)/10,0)*10,[1]Hugst!$R$4:$W$4,0))))</f>
        <v>3266.1930093978795</v>
      </c>
      <c r="P76">
        <f ca="1">IF($C76-P$1&lt;År1,0,O75*(1-VLOOKUP($A76,[1]Hugst!$R$5:$W$9,MATCH(ROUNDUP((P$1)/10,0)*10,[1]Hugst!$R$4:$W$4,0))))</f>
        <v>3266.0489428751512</v>
      </c>
      <c r="Q76">
        <f ca="1">IF($C76-Q$1&lt;År1,0,P75*(1-VLOOKUP($A76,[1]Hugst!$R$5:$W$9,MATCH(ROUNDUP((Q$1)/10,0)*10,[1]Hugst!$R$4:$W$4,0))))</f>
        <v>3265.9219915014464</v>
      </c>
      <c r="R76">
        <f ca="1">IF($C76-R$1&lt;År1,0,Q75*(1-VLOOKUP($A76,[1]Hugst!$R$5:$W$9,MATCH(ROUNDUP((R$1)/10,0)*10,[1]Hugst!$R$4:$W$4,0))))</f>
        <v>3265.8121881683023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19.928099184326129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4554.3533207851833</v>
      </c>
      <c r="G77">
        <f ca="1">IF($C77-G$1&lt;År1,0,F76*(1-VLOOKUP($A77,[1]Hugst!$R$5:$W$9,MATCH(ROUNDUP((G$1)/10,0)*10,[1]Hugst!$R$4:$W$4,0))))</f>
        <v>4554.0025760354492</v>
      </c>
      <c r="H77">
        <f ca="1">IF($C77-H$1&lt;År1,0,G76*(1-VLOOKUP($A77,[1]Hugst!$R$5:$W$9,MATCH(ROUNDUP((H$1)/10,0)*10,[1]Hugst!$R$4:$W$4,0))))</f>
        <v>4553.6600109773863</v>
      </c>
      <c r="I77">
        <f ca="1">IF($C77-I$1&lt;År1,0,H76*(1-VLOOKUP($A77,[1]Hugst!$R$5:$W$9,MATCH(ROUNDUP((I$1)/10,0)*10,[1]Hugst!$R$4:$W$4,0))))</f>
        <v>3237.9496998617469</v>
      </c>
      <c r="J77">
        <f ca="1">IF($C77-J$1&lt;År1,0,I76*(1-VLOOKUP($A77,[1]Hugst!$R$5:$W$9,MATCH(ROUNDUP((J$1)/10,0)*10,[1]Hugst!$R$4:$W$4,0))))</f>
        <v>3237.6236633729714</v>
      </c>
      <c r="K77">
        <f ca="1">IF($C77-K$1&lt;År1,0,J76*(1-VLOOKUP($A77,[1]Hugst!$R$5:$W$9,MATCH(ROUNDUP((K$1)/10,0)*10,[1]Hugst!$R$4:$W$4,0))))</f>
        <v>3242.3257522916001</v>
      </c>
      <c r="L77">
        <f ca="1">IF($C77-L$1&lt;År1,0,K76*(1-VLOOKUP($A77,[1]Hugst!$R$5:$W$9,MATCH(ROUNDUP((L$1)/10,0)*10,[1]Hugst!$R$4:$W$4,0))))</f>
        <v>3247.0514697977023</v>
      </c>
      <c r="M77">
        <f ca="1">IF($C77-M$1&lt;År1,0,L76*(1-VLOOKUP($A77,[1]Hugst!$R$5:$W$9,MATCH(ROUNDUP((M$1)/10,0)*10,[1]Hugst!$R$4:$W$4,0))))</f>
        <v>3251.8009346279605</v>
      </c>
      <c r="N77">
        <f ca="1">IF($C77-N$1&lt;År1,0,M76*(1-VLOOKUP($A77,[1]Hugst!$R$5:$W$9,MATCH(ROUNDUP((N$1)/10,0)*10,[1]Hugst!$R$4:$W$4,0))))</f>
        <v>3256.574266115661</v>
      </c>
      <c r="O77">
        <f ca="1">IF($C77-O$1&lt;År1,0,N76*(1-VLOOKUP($A77,[1]Hugst!$R$5:$W$9,MATCH(ROUNDUP((O$1)/10,0)*10,[1]Hugst!$R$4:$W$4,0))))</f>
        <v>3261.3715841937615</v>
      </c>
      <c r="P77">
        <f ca="1">IF($C77-P$1&lt;År1,0,O76*(1-VLOOKUP($A77,[1]Hugst!$R$5:$W$9,MATCH(ROUNDUP((P$1)/10,0)*10,[1]Hugst!$R$4:$W$4,0))))</f>
        <v>3261.2106810784589</v>
      </c>
      <c r="Q77">
        <f ca="1">IF($C77-Q$1&lt;År1,0,P76*(1-VLOOKUP($A77,[1]Hugst!$R$5:$W$9,MATCH(ROUNDUP((Q$1)/10,0)*10,[1]Hugst!$R$4:$W$4,0))))</f>
        <v>3261.0668343182228</v>
      </c>
      <c r="R77">
        <f ca="1">IF($C77-R$1&lt;År1,0,Q76*(1-VLOOKUP($A77,[1]Hugst!$R$5:$W$9,MATCH(ROUNDUP((R$1)/10,0)*10,[1]Hugst!$R$4:$W$4,0))))</f>
        <v>3260.9400765991559</v>
      </c>
      <c r="S77">
        <f ca="1">IF($C77-S$1&lt;År1,0,R76*(1-VLOOKUP($A77,[1]Hugst!$R$5:$W$9,MATCH(ROUNDUP((S$1)/10,0)*10,[1]Hugst!$R$4:$W$4,0))))</f>
        <v>3260.8304407626219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24.872673991958436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4554.7121892379037</v>
      </c>
      <c r="G78">
        <f ca="1">IF($C78-G$1&lt;År1,0,F77*(1-VLOOKUP($A78,[1]Hugst!$R$5:$W$9,MATCH(ROUNDUP((G$1)/10,0)*10,[1]Hugst!$R$4:$W$4,0))))</f>
        <v>4554.3533207851833</v>
      </c>
      <c r="H78">
        <f ca="1">IF($C78-H$1&lt;År1,0,G77*(1-VLOOKUP($A78,[1]Hugst!$R$5:$W$9,MATCH(ROUNDUP((H$1)/10,0)*10,[1]Hugst!$R$4:$W$4,0))))</f>
        <v>4554.0025760354492</v>
      </c>
      <c r="I78">
        <f ca="1">IF($C78-I$1&lt;År1,0,H77*(1-VLOOKUP($A78,[1]Hugst!$R$5:$W$9,MATCH(ROUNDUP((I$1)/10,0)*10,[1]Hugst!$R$4:$W$4,0))))</f>
        <v>4553.6600109773863</v>
      </c>
      <c r="J78">
        <f ca="1">IF($C78-J$1&lt;År1,0,I77*(1-VLOOKUP($A78,[1]Hugst!$R$5:$W$9,MATCH(ROUNDUP((J$1)/10,0)*10,[1]Hugst!$R$4:$W$4,0))))</f>
        <v>3237.9496998617469</v>
      </c>
      <c r="K78">
        <f ca="1">IF($C78-K$1&lt;År1,0,J77*(1-VLOOKUP($A78,[1]Hugst!$R$5:$W$9,MATCH(ROUNDUP((K$1)/10,0)*10,[1]Hugst!$R$4:$W$4,0))))</f>
        <v>3237.6236633729714</v>
      </c>
      <c r="L78">
        <f ca="1">IF($C78-L$1&lt;År1,0,K77*(1-VLOOKUP($A78,[1]Hugst!$R$5:$W$9,MATCH(ROUNDUP((L$1)/10,0)*10,[1]Hugst!$R$4:$W$4,0))))</f>
        <v>3242.3257522916001</v>
      </c>
      <c r="M78">
        <f ca="1">IF($C78-M$1&lt;År1,0,L77*(1-VLOOKUP($A78,[1]Hugst!$R$5:$W$9,MATCH(ROUNDUP((M$1)/10,0)*10,[1]Hugst!$R$4:$W$4,0))))</f>
        <v>3247.0514697977023</v>
      </c>
      <c r="N78">
        <f ca="1">IF($C78-N$1&lt;År1,0,M77*(1-VLOOKUP($A78,[1]Hugst!$R$5:$W$9,MATCH(ROUNDUP((N$1)/10,0)*10,[1]Hugst!$R$4:$W$4,0))))</f>
        <v>3251.8009346279605</v>
      </c>
      <c r="O78">
        <f ca="1">IF($C78-O$1&lt;År1,0,N77*(1-VLOOKUP($A78,[1]Hugst!$R$5:$W$9,MATCH(ROUNDUP((O$1)/10,0)*10,[1]Hugst!$R$4:$W$4,0))))</f>
        <v>3256.574266115661</v>
      </c>
      <c r="P78">
        <f ca="1">IF($C78-P$1&lt;År1,0,O77*(1-VLOOKUP($A78,[1]Hugst!$R$5:$W$9,MATCH(ROUNDUP((P$1)/10,0)*10,[1]Hugst!$R$4:$W$4,0))))</f>
        <v>3256.3966105907539</v>
      </c>
      <c r="Q78">
        <f ca="1">IF($C78-Q$1&lt;År1,0,P77*(1-VLOOKUP($A78,[1]Hugst!$R$5:$W$9,MATCH(ROUNDUP((Q$1)/10,0)*10,[1]Hugst!$R$4:$W$4,0))))</f>
        <v>3256.2359529208816</v>
      </c>
      <c r="R78">
        <f ca="1">IF($C78-R$1&lt;År1,0,Q77*(1-VLOOKUP($A78,[1]Hugst!$R$5:$W$9,MATCH(ROUNDUP((R$1)/10,0)*10,[1]Hugst!$R$4:$W$4,0))))</f>
        <v>3256.092325587907</v>
      </c>
      <c r="S78">
        <f ca="1">IF($C78-S$1&lt;År1,0,R77*(1-VLOOKUP($A78,[1]Hugst!$R$5:$W$9,MATCH(ROUNDUP((S$1)/10,0)*10,[1]Hugst!$R$4:$W$4,0))))</f>
        <v>3255.9657612280721</v>
      </c>
      <c r="T78">
        <f ca="1">IF($C78-T$1&lt;År1,0,S77*(1-VLOOKUP($A78,[1]Hugst!$R$5:$W$9,MATCH(ROUNDUP((T$1)/10,0)*10,[1]Hugst!$R$4:$W$4,0))))</f>
        <v>3255.8562926326449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29.802388285039342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4555.0791257078599</v>
      </c>
      <c r="G79">
        <f ca="1">IF($C79-G$1&lt;År1,0,F78*(1-VLOOKUP($A79,[1]Hugst!$R$5:$W$9,MATCH(ROUNDUP((G$1)/10,0)*10,[1]Hugst!$R$4:$W$4,0))))</f>
        <v>4554.7121892379037</v>
      </c>
      <c r="H79">
        <f ca="1">IF($C79-H$1&lt;År1,0,G78*(1-VLOOKUP($A79,[1]Hugst!$R$5:$W$9,MATCH(ROUNDUP((H$1)/10,0)*10,[1]Hugst!$R$4:$W$4,0))))</f>
        <v>4554.3533207851833</v>
      </c>
      <c r="I79">
        <f ca="1">IF($C79-I$1&lt;År1,0,H78*(1-VLOOKUP($A79,[1]Hugst!$R$5:$W$9,MATCH(ROUNDUP((I$1)/10,0)*10,[1]Hugst!$R$4:$W$4,0))))</f>
        <v>4554.0025760354492</v>
      </c>
      <c r="J79">
        <f ca="1">IF($C79-J$1&lt;År1,0,I78*(1-VLOOKUP($A79,[1]Hugst!$R$5:$W$9,MATCH(ROUNDUP((J$1)/10,0)*10,[1]Hugst!$R$4:$W$4,0))))</f>
        <v>4553.6600109773863</v>
      </c>
      <c r="K79">
        <f ca="1">IF($C79-K$1&lt;År1,0,J78*(1-VLOOKUP($A79,[1]Hugst!$R$5:$W$9,MATCH(ROUNDUP((K$1)/10,0)*10,[1]Hugst!$R$4:$W$4,0))))</f>
        <v>3237.9496998617469</v>
      </c>
      <c r="L79">
        <f ca="1">IF($C79-L$1&lt;År1,0,K78*(1-VLOOKUP($A79,[1]Hugst!$R$5:$W$9,MATCH(ROUNDUP((L$1)/10,0)*10,[1]Hugst!$R$4:$W$4,0))))</f>
        <v>3237.6236633729714</v>
      </c>
      <c r="M79">
        <f ca="1">IF($C79-M$1&lt;År1,0,L78*(1-VLOOKUP($A79,[1]Hugst!$R$5:$W$9,MATCH(ROUNDUP((M$1)/10,0)*10,[1]Hugst!$R$4:$W$4,0))))</f>
        <v>3242.3257522916001</v>
      </c>
      <c r="N79">
        <f ca="1">IF($C79-N$1&lt;År1,0,M78*(1-VLOOKUP($A79,[1]Hugst!$R$5:$W$9,MATCH(ROUNDUP((N$1)/10,0)*10,[1]Hugst!$R$4:$W$4,0))))</f>
        <v>3247.0514697977023</v>
      </c>
      <c r="O79">
        <f ca="1">IF($C79-O$1&lt;År1,0,N78*(1-VLOOKUP($A79,[1]Hugst!$R$5:$W$9,MATCH(ROUNDUP((O$1)/10,0)*10,[1]Hugst!$R$4:$W$4,0))))</f>
        <v>3251.8009346279605</v>
      </c>
      <c r="P79">
        <f ca="1">IF($C79-P$1&lt;År1,0,O78*(1-VLOOKUP($A79,[1]Hugst!$R$5:$W$9,MATCH(ROUNDUP((P$1)/10,0)*10,[1]Hugst!$R$4:$W$4,0))))</f>
        <v>3251.6066104554843</v>
      </c>
      <c r="Q79">
        <f ca="1">IF($C79-Q$1&lt;År1,0,P78*(1-VLOOKUP($A79,[1]Hugst!$R$5:$W$9,MATCH(ROUNDUP((Q$1)/10,0)*10,[1]Hugst!$R$4:$W$4,0))))</f>
        <v>3251.4292259305307</v>
      </c>
      <c r="R79">
        <f ca="1">IF($C79-R$1&lt;År1,0,Q78*(1-VLOOKUP($A79,[1]Hugst!$R$5:$W$9,MATCH(ROUNDUP((R$1)/10,0)*10,[1]Hugst!$R$4:$W$4,0))))</f>
        <v>3251.2688133316801</v>
      </c>
      <c r="S79">
        <f ca="1">IF($C79-S$1&lt;År1,0,R78*(1-VLOOKUP($A79,[1]Hugst!$R$5:$W$9,MATCH(ROUNDUP((S$1)/10,0)*10,[1]Hugst!$R$4:$W$4,0))))</f>
        <v>3251.1254050912476</v>
      </c>
      <c r="T79">
        <f ca="1">IF($C79-T$1&lt;År1,0,S78*(1-VLOOKUP($A79,[1]Hugst!$R$5:$W$9,MATCH(ROUNDUP((T$1)/10,0)*10,[1]Hugst!$R$4:$W$4,0))))</f>
        <v>3250.9990337956901</v>
      </c>
      <c r="U79">
        <f ca="1">IF($C79-U$1&lt;År1,0,T78*(1-VLOOKUP($A79,[1]Hugst!$R$5:$W$9,MATCH(ROUNDUP((U$1)/10,0)*10,[1]Hugst!$R$4:$W$4,0))))</f>
        <v>3250.889732186256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34.717301321812556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4555.4540748105992</v>
      </c>
      <c r="G80">
        <f ca="1">IF($C80-G$1&lt;År1,0,F79*(1-VLOOKUP($A80,[1]Hugst!$R$5:$W$9,MATCH(ROUNDUP((G$1)/10,0)*10,[1]Hugst!$R$4:$W$4,0))))</f>
        <v>4555.0791257078599</v>
      </c>
      <c r="H80">
        <f ca="1">IF($C80-H$1&lt;År1,0,G79*(1-VLOOKUP($A80,[1]Hugst!$R$5:$W$9,MATCH(ROUNDUP((H$1)/10,0)*10,[1]Hugst!$R$4:$W$4,0))))</f>
        <v>4554.7121892379037</v>
      </c>
      <c r="I80">
        <f ca="1">IF($C80-I$1&lt;År1,0,H79*(1-VLOOKUP($A80,[1]Hugst!$R$5:$W$9,MATCH(ROUNDUP((I$1)/10,0)*10,[1]Hugst!$R$4:$W$4,0))))</f>
        <v>4554.3533207851833</v>
      </c>
      <c r="J80">
        <f ca="1">IF($C80-J$1&lt;År1,0,I79*(1-VLOOKUP($A80,[1]Hugst!$R$5:$W$9,MATCH(ROUNDUP((J$1)/10,0)*10,[1]Hugst!$R$4:$W$4,0))))</f>
        <v>4554.0025760354492</v>
      </c>
      <c r="K80">
        <f ca="1">IF($C80-K$1&lt;År1,0,J79*(1-VLOOKUP($A80,[1]Hugst!$R$5:$W$9,MATCH(ROUNDUP((K$1)/10,0)*10,[1]Hugst!$R$4:$W$4,0))))</f>
        <v>4553.6600109773863</v>
      </c>
      <c r="L80">
        <f ca="1">IF($C80-L$1&lt;År1,0,K79*(1-VLOOKUP($A80,[1]Hugst!$R$5:$W$9,MATCH(ROUNDUP((L$1)/10,0)*10,[1]Hugst!$R$4:$W$4,0))))</f>
        <v>3237.9496998617469</v>
      </c>
      <c r="M80">
        <f ca="1">IF($C80-M$1&lt;År1,0,L79*(1-VLOOKUP($A80,[1]Hugst!$R$5:$W$9,MATCH(ROUNDUP((M$1)/10,0)*10,[1]Hugst!$R$4:$W$4,0))))</f>
        <v>3237.6236633729714</v>
      </c>
      <c r="N80">
        <f ca="1">IF($C80-N$1&lt;År1,0,M79*(1-VLOOKUP($A80,[1]Hugst!$R$5:$W$9,MATCH(ROUNDUP((N$1)/10,0)*10,[1]Hugst!$R$4:$W$4,0))))</f>
        <v>3242.3257522916001</v>
      </c>
      <c r="O80">
        <f ca="1">IF($C80-O$1&lt;År1,0,N79*(1-VLOOKUP($A80,[1]Hugst!$R$5:$W$9,MATCH(ROUNDUP((O$1)/10,0)*10,[1]Hugst!$R$4:$W$4,0))))</f>
        <v>3247.0514697977023</v>
      </c>
      <c r="P80">
        <f ca="1">IF($C80-P$1&lt;År1,0,O79*(1-VLOOKUP($A80,[1]Hugst!$R$5:$W$9,MATCH(ROUNDUP((P$1)/10,0)*10,[1]Hugst!$R$4:$W$4,0))))</f>
        <v>3246.8405603209007</v>
      </c>
      <c r="Q80">
        <f ca="1">IF($C80-Q$1&lt;År1,0,P79*(1-VLOOKUP($A80,[1]Hugst!$R$5:$W$9,MATCH(ROUNDUP((Q$1)/10,0)*10,[1]Hugst!$R$4:$W$4,0))))</f>
        <v>3246.6465325751283</v>
      </c>
      <c r="R80">
        <f ca="1">IF($C80-R$1&lt;År1,0,Q79*(1-VLOOKUP($A80,[1]Hugst!$R$5:$W$9,MATCH(ROUNDUP((R$1)/10,0)*10,[1]Hugst!$R$4:$W$4,0))))</f>
        <v>3246.4694186367383</v>
      </c>
      <c r="S80">
        <f ca="1">IF($C80-S$1&lt;År1,0,R79*(1-VLOOKUP($A80,[1]Hugst!$R$5:$W$9,MATCH(ROUNDUP((S$1)/10,0)*10,[1]Hugst!$R$4:$W$4,0))))</f>
        <v>3246.3092507350725</v>
      </c>
      <c r="T80">
        <f ca="1">IF($C80-T$1&lt;År1,0,S79*(1-VLOOKUP($A80,[1]Hugst!$R$5:$W$9,MATCH(ROUNDUP((T$1)/10,0)*10,[1]Hugst!$R$4:$W$4,0))))</f>
        <v>3246.1660612529727</v>
      </c>
      <c r="U80">
        <f ca="1">IF($C80-U$1&lt;År1,0,T79*(1-VLOOKUP($A80,[1]Hugst!$R$5:$W$9,MATCH(ROUNDUP((U$1)/10,0)*10,[1]Hugst!$R$4:$W$4,0))))</f>
        <v>3246.0398827271883</v>
      </c>
      <c r="V80">
        <f ca="1">IF($C80-V$1&lt;År1,0,U79*(1-VLOOKUP($A80,[1]Hugst!$R$5:$W$9,MATCH(ROUNDUP((V$1)/10,0)*10,[1]Hugst!$R$4:$W$4,0))))</f>
        <v>3245.9307478490227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39.617472087316855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4555.8369814617399</v>
      </c>
      <c r="G81">
        <f ca="1">IF($C81-G$1&lt;År1,0,F80*(1-VLOOKUP($A81,[1]Hugst!$R$5:$W$9,MATCH(ROUNDUP((G$1)/10,0)*10,[1]Hugst!$R$4:$W$4,0))))</f>
        <v>4555.4540748105992</v>
      </c>
      <c r="H81">
        <f ca="1">IF($C81-H$1&lt;År1,0,G80*(1-VLOOKUP($A81,[1]Hugst!$R$5:$W$9,MATCH(ROUNDUP((H$1)/10,0)*10,[1]Hugst!$R$4:$W$4,0))))</f>
        <v>4555.0791257078599</v>
      </c>
      <c r="I81">
        <f ca="1">IF($C81-I$1&lt;År1,0,H80*(1-VLOOKUP($A81,[1]Hugst!$R$5:$W$9,MATCH(ROUNDUP((I$1)/10,0)*10,[1]Hugst!$R$4:$W$4,0))))</f>
        <v>4554.7121892379037</v>
      </c>
      <c r="J81">
        <f ca="1">IF($C81-J$1&lt;År1,0,I80*(1-VLOOKUP($A81,[1]Hugst!$R$5:$W$9,MATCH(ROUNDUP((J$1)/10,0)*10,[1]Hugst!$R$4:$W$4,0))))</f>
        <v>4554.3533207851833</v>
      </c>
      <c r="K81">
        <f ca="1">IF($C81-K$1&lt;År1,0,J80*(1-VLOOKUP($A81,[1]Hugst!$R$5:$W$9,MATCH(ROUNDUP((K$1)/10,0)*10,[1]Hugst!$R$4:$W$4,0))))</f>
        <v>4554.0025760354492</v>
      </c>
      <c r="L81">
        <f ca="1">IF($C81-L$1&lt;År1,0,K80*(1-VLOOKUP($A81,[1]Hugst!$R$5:$W$9,MATCH(ROUNDUP((L$1)/10,0)*10,[1]Hugst!$R$4:$W$4,0))))</f>
        <v>4553.6600109773863</v>
      </c>
      <c r="M81">
        <f ca="1">IF($C81-M$1&lt;År1,0,L80*(1-VLOOKUP($A81,[1]Hugst!$R$5:$W$9,MATCH(ROUNDUP((M$1)/10,0)*10,[1]Hugst!$R$4:$W$4,0))))</f>
        <v>3237.9496998617469</v>
      </c>
      <c r="N81">
        <f ca="1">IF($C81-N$1&lt;År1,0,M80*(1-VLOOKUP($A81,[1]Hugst!$R$5:$W$9,MATCH(ROUNDUP((N$1)/10,0)*10,[1]Hugst!$R$4:$W$4,0))))</f>
        <v>3237.6236633729714</v>
      </c>
      <c r="O81">
        <f ca="1">IF($C81-O$1&lt;År1,0,N80*(1-VLOOKUP($A81,[1]Hugst!$R$5:$W$9,MATCH(ROUNDUP((O$1)/10,0)*10,[1]Hugst!$R$4:$W$4,0))))</f>
        <v>3242.3257522916001</v>
      </c>
      <c r="P81">
        <f ca="1">IF($C81-P$1&lt;År1,0,O80*(1-VLOOKUP($A81,[1]Hugst!$R$5:$W$9,MATCH(ROUNDUP((P$1)/10,0)*10,[1]Hugst!$R$4:$W$4,0))))</f>
        <v>3242.098340436994</v>
      </c>
      <c r="Q81">
        <f ca="1">IF($C81-Q$1&lt;År1,0,P80*(1-VLOOKUP($A81,[1]Hugst!$R$5:$W$9,MATCH(ROUNDUP((Q$1)/10,0)*10,[1]Hugst!$R$4:$W$4,0))))</f>
        <v>3241.8877526865126</v>
      </c>
      <c r="R81">
        <f ca="1">IF($C81-R$1&lt;År1,0,Q80*(1-VLOOKUP($A81,[1]Hugst!$R$5:$W$9,MATCH(ROUNDUP((R$1)/10,0)*10,[1]Hugst!$R$4:$W$4,0))))</f>
        <v>3241.6940209152676</v>
      </c>
      <c r="S81">
        <f ca="1">IF($C81-S$1&lt;År1,0,R80*(1-VLOOKUP($A81,[1]Hugst!$R$5:$W$9,MATCH(ROUNDUP((S$1)/10,0)*10,[1]Hugst!$R$4:$W$4,0))))</f>
        <v>3241.5171771506821</v>
      </c>
      <c r="T81">
        <f ca="1">IF($C81-T$1&lt;År1,0,S80*(1-VLOOKUP($A81,[1]Hugst!$R$5:$W$9,MATCH(ROUNDUP((T$1)/10,0)*10,[1]Hugst!$R$4:$W$4,0))))</f>
        <v>3241.357253572934</v>
      </c>
      <c r="U81">
        <f ca="1">IF($C81-U$1&lt;År1,0,T80*(1-VLOOKUP($A81,[1]Hugst!$R$5:$W$9,MATCH(ROUNDUP((U$1)/10,0)*10,[1]Hugst!$R$4:$W$4,0))))</f>
        <v>3241.2142825154679</v>
      </c>
      <c r="V81">
        <f ca="1">IF($C81-V$1&lt;År1,0,U80*(1-VLOOKUP($A81,[1]Hugst!$R$5:$W$9,MATCH(ROUNDUP((V$1)/10,0)*10,[1]Hugst!$R$4:$W$4,0))))</f>
        <v>3241.0882964654011</v>
      </c>
      <c r="W81">
        <f ca="1">IF($C81-W$1&lt;År1,0,V80*(1-VLOOKUP($A81,[1]Hugst!$R$5:$W$9,MATCH(ROUNDUP((W$1)/10,0)*10,[1]Hugst!$R$4:$W$4,0))))</f>
        <v>3240.9793280641684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44.502959294390166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4556.2277908750566</v>
      </c>
      <c r="G82">
        <f ca="1">IF($C82-G$1&lt;År1,0,F81*(1-VLOOKUP($A82,[1]Hugst!$R$5:$W$9,MATCH(ROUNDUP((G$1)/10,0)*10,[1]Hugst!$R$4:$W$4,0))))</f>
        <v>4555.8369814617399</v>
      </c>
      <c r="H82">
        <f ca="1">IF($C82-H$1&lt;År1,0,G81*(1-VLOOKUP($A82,[1]Hugst!$R$5:$W$9,MATCH(ROUNDUP((H$1)/10,0)*10,[1]Hugst!$R$4:$W$4,0))))</f>
        <v>4555.4540748105992</v>
      </c>
      <c r="I82">
        <f ca="1">IF($C82-I$1&lt;År1,0,H81*(1-VLOOKUP($A82,[1]Hugst!$R$5:$W$9,MATCH(ROUNDUP((I$1)/10,0)*10,[1]Hugst!$R$4:$W$4,0))))</f>
        <v>4555.0791257078599</v>
      </c>
      <c r="J82">
        <f ca="1">IF($C82-J$1&lt;År1,0,I81*(1-VLOOKUP($A82,[1]Hugst!$R$5:$W$9,MATCH(ROUNDUP((J$1)/10,0)*10,[1]Hugst!$R$4:$W$4,0))))</f>
        <v>4554.7121892379037</v>
      </c>
      <c r="K82">
        <f ca="1">IF($C82-K$1&lt;År1,0,J81*(1-VLOOKUP($A82,[1]Hugst!$R$5:$W$9,MATCH(ROUNDUP((K$1)/10,0)*10,[1]Hugst!$R$4:$W$4,0))))</f>
        <v>4554.3533207851833</v>
      </c>
      <c r="L82">
        <f ca="1">IF($C82-L$1&lt;År1,0,K81*(1-VLOOKUP($A82,[1]Hugst!$R$5:$W$9,MATCH(ROUNDUP((L$1)/10,0)*10,[1]Hugst!$R$4:$W$4,0))))</f>
        <v>4554.0025760354492</v>
      </c>
      <c r="M82">
        <f ca="1">IF($C82-M$1&lt;År1,0,L81*(1-VLOOKUP($A82,[1]Hugst!$R$5:$W$9,MATCH(ROUNDUP((M$1)/10,0)*10,[1]Hugst!$R$4:$W$4,0))))</f>
        <v>4553.6600109773863</v>
      </c>
      <c r="N82">
        <f ca="1">IF($C82-N$1&lt;År1,0,M81*(1-VLOOKUP($A82,[1]Hugst!$R$5:$W$9,MATCH(ROUNDUP((N$1)/10,0)*10,[1]Hugst!$R$4:$W$4,0))))</f>
        <v>3237.9496998617469</v>
      </c>
      <c r="O82">
        <f ca="1">IF($C82-O$1&lt;År1,0,N81*(1-VLOOKUP($A82,[1]Hugst!$R$5:$W$9,MATCH(ROUNDUP((O$1)/10,0)*10,[1]Hugst!$R$4:$W$4,0))))</f>
        <v>3237.6236633729714</v>
      </c>
      <c r="P82">
        <f ca="1">IF($C82-P$1&lt;År1,0,O81*(1-VLOOKUP($A82,[1]Hugst!$R$5:$W$9,MATCH(ROUNDUP((P$1)/10,0)*10,[1]Hugst!$R$4:$W$4,0))))</f>
        <v>3237.3798316525113</v>
      </c>
      <c r="Q82">
        <f ca="1">IF($C82-Q$1&lt;År1,0,P81*(1-VLOOKUP($A82,[1]Hugst!$R$5:$W$9,MATCH(ROUNDUP((Q$1)/10,0)*10,[1]Hugst!$R$4:$W$4,0))))</f>
        <v>3237.1527666973443</v>
      </c>
      <c r="R82">
        <f ca="1">IF($C82-R$1&lt;År1,0,Q81*(1-VLOOKUP($A82,[1]Hugst!$R$5:$W$9,MATCH(ROUNDUP((R$1)/10,0)*10,[1]Hugst!$R$4:$W$4,0))))</f>
        <v>3236.9425001824143</v>
      </c>
      <c r="S82">
        <f ca="1">IF($C82-S$1&lt;År1,0,R81*(1-VLOOKUP($A82,[1]Hugst!$R$5:$W$9,MATCH(ROUNDUP((S$1)/10,0)*10,[1]Hugst!$R$4:$W$4,0))))</f>
        <v>3236.7490639342104</v>
      </c>
      <c r="T82">
        <f ca="1">IF($C82-T$1&lt;År1,0,S81*(1-VLOOKUP($A82,[1]Hugst!$R$5:$W$9,MATCH(ROUNDUP((T$1)/10,0)*10,[1]Hugst!$R$4:$W$4,0))))</f>
        <v>3236.5724899312995</v>
      </c>
      <c r="U82">
        <f ca="1">IF($C82-U$1&lt;År1,0,T81*(1-VLOOKUP($A82,[1]Hugst!$R$5:$W$9,MATCH(ROUNDUP((U$1)/10,0)*10,[1]Hugst!$R$4:$W$4,0))))</f>
        <v>3236.4128103047719</v>
      </c>
      <c r="V82">
        <f ca="1">IF($C82-V$1&lt;År1,0,U81*(1-VLOOKUP($A82,[1]Hugst!$R$5:$W$9,MATCH(ROUNDUP((V$1)/10,0)*10,[1]Hugst!$R$4:$W$4,0))))</f>
        <v>3236.2700573387492</v>
      </c>
      <c r="W82">
        <f ca="1">IF($C82-W$1&lt;År1,0,V81*(1-VLOOKUP($A82,[1]Hugst!$R$5:$W$9,MATCH(ROUNDUP((W$1)/10,0)*10,[1]Hugst!$R$4:$W$4,0))))</f>
        <v>3236.1442634707928</v>
      </c>
      <c r="X82">
        <f ca="1">IF($C82-X$1&lt;År1,0,W81*(1-VLOOKUP($A82,[1]Hugst!$R$5:$W$9,MATCH(ROUNDUP((X$1)/10,0)*10,[1]Hugst!$R$4:$W$4,0))))</f>
        <v>3236.0354612925448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49.373821385364863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4556.6264485611628</v>
      </c>
      <c r="G83">
        <f ca="1">IF($C83-G$1&lt;År1,0,F82*(1-VLOOKUP($A83,[1]Hugst!$R$5:$W$9,MATCH(ROUNDUP((G$1)/10,0)*10,[1]Hugst!$R$4:$W$4,0))))</f>
        <v>4556.2277908750566</v>
      </c>
      <c r="H83">
        <f ca="1">IF($C83-H$1&lt;År1,0,G82*(1-VLOOKUP($A83,[1]Hugst!$R$5:$W$9,MATCH(ROUNDUP((H$1)/10,0)*10,[1]Hugst!$R$4:$W$4,0))))</f>
        <v>4555.8369814617399</v>
      </c>
      <c r="I83">
        <f ca="1">IF($C83-I$1&lt;År1,0,H82*(1-VLOOKUP($A83,[1]Hugst!$R$5:$W$9,MATCH(ROUNDUP((I$1)/10,0)*10,[1]Hugst!$R$4:$W$4,0))))</f>
        <v>4555.4540748105992</v>
      </c>
      <c r="J83">
        <f ca="1">IF($C83-J$1&lt;År1,0,I82*(1-VLOOKUP($A83,[1]Hugst!$R$5:$W$9,MATCH(ROUNDUP((J$1)/10,0)*10,[1]Hugst!$R$4:$W$4,0))))</f>
        <v>4555.0791257078599</v>
      </c>
      <c r="K83">
        <f ca="1">IF($C83-K$1&lt;År1,0,J82*(1-VLOOKUP($A83,[1]Hugst!$R$5:$W$9,MATCH(ROUNDUP((K$1)/10,0)*10,[1]Hugst!$R$4:$W$4,0))))</f>
        <v>4554.7121892379037</v>
      </c>
      <c r="L83">
        <f ca="1">IF($C83-L$1&lt;År1,0,K82*(1-VLOOKUP($A83,[1]Hugst!$R$5:$W$9,MATCH(ROUNDUP((L$1)/10,0)*10,[1]Hugst!$R$4:$W$4,0))))</f>
        <v>4554.3533207851833</v>
      </c>
      <c r="M83">
        <f ca="1">IF($C83-M$1&lt;År1,0,L82*(1-VLOOKUP($A83,[1]Hugst!$R$5:$W$9,MATCH(ROUNDUP((M$1)/10,0)*10,[1]Hugst!$R$4:$W$4,0))))</f>
        <v>4554.0025760354492</v>
      </c>
      <c r="N83">
        <f ca="1">IF($C83-N$1&lt;År1,0,M82*(1-VLOOKUP($A83,[1]Hugst!$R$5:$W$9,MATCH(ROUNDUP((N$1)/10,0)*10,[1]Hugst!$R$4:$W$4,0))))</f>
        <v>4553.6600109773863</v>
      </c>
      <c r="O83">
        <f ca="1">IF($C83-O$1&lt;År1,0,N82*(1-VLOOKUP($A83,[1]Hugst!$R$5:$W$9,MATCH(ROUNDUP((O$1)/10,0)*10,[1]Hugst!$R$4:$W$4,0))))</f>
        <v>3237.9496998617469</v>
      </c>
      <c r="P83">
        <f ca="1">IF($C83-P$1&lt;År1,0,O82*(1-VLOOKUP($A83,[1]Hugst!$R$5:$W$9,MATCH(ROUNDUP((P$1)/10,0)*10,[1]Hugst!$R$4:$W$4,0))))</f>
        <v>3232.6849154118941</v>
      </c>
      <c r="Q83">
        <f ca="1">IF($C83-Q$1&lt;År1,0,P82*(1-VLOOKUP($A83,[1]Hugst!$R$5:$W$9,MATCH(ROUNDUP((Q$1)/10,0)*10,[1]Hugst!$R$4:$W$4,0))))</f>
        <v>3232.4414556381262</v>
      </c>
      <c r="R83">
        <f ca="1">IF($C83-R$1&lt;År1,0,Q82*(1-VLOOKUP($A83,[1]Hugst!$R$5:$W$9,MATCH(ROUNDUP((R$1)/10,0)*10,[1]Hugst!$R$4:$W$4,0))))</f>
        <v>3232.2147370532298</v>
      </c>
      <c r="S83">
        <f ca="1">IF($C83-S$1&lt;År1,0,R82*(1-VLOOKUP($A83,[1]Hugst!$R$5:$W$9,MATCH(ROUNDUP((S$1)/10,0)*10,[1]Hugst!$R$4:$W$4,0))))</f>
        <v>3232.0047912838309</v>
      </c>
      <c r="T83">
        <f ca="1">IF($C83-T$1&lt;År1,0,S82*(1-VLOOKUP($A83,[1]Hugst!$R$5:$W$9,MATCH(ROUNDUP((T$1)/10,0)*10,[1]Hugst!$R$4:$W$4,0))))</f>
        <v>3231.8116501078698</v>
      </c>
      <c r="U83">
        <f ca="1">IF($C83-U$1&lt;År1,0,T82*(1-VLOOKUP($A83,[1]Hugst!$R$5:$W$9,MATCH(ROUNDUP((U$1)/10,0)*10,[1]Hugst!$R$4:$W$4,0))))</f>
        <v>3231.6353454551331</v>
      </c>
      <c r="V83">
        <f ca="1">IF($C83-V$1&lt;År1,0,U82*(1-VLOOKUP($A83,[1]Hugst!$R$5:$W$9,MATCH(ROUNDUP((V$1)/10,0)*10,[1]Hugst!$R$4:$W$4,0))))</f>
        <v>3231.4759094076967</v>
      </c>
      <c r="W83">
        <f ca="1">IF($C83-W$1&lt;År1,0,V82*(1-VLOOKUP($A83,[1]Hugst!$R$5:$W$9,MATCH(ROUNDUP((W$1)/10,0)*10,[1]Hugst!$R$4:$W$4,0))))</f>
        <v>3231.3333742004356</v>
      </c>
      <c r="X83">
        <f ca="1">IF($C83-X$1&lt;År1,0,W82*(1-VLOOKUP($A83,[1]Hugst!$R$5:$W$9,MATCH(ROUNDUP((X$1)/10,0)*10,[1]Hugst!$R$4:$W$4,0))))</f>
        <v>3231.2077722214303</v>
      </c>
      <c r="Y83">
        <f ca="1">IF($C83-Y$1&lt;År1,0,X82*(1-VLOOKUP($A83,[1]Hugst!$R$5:$W$9,MATCH(ROUNDUP((Y$1)/10,0)*10,[1]Hugst!$R$4:$W$4,0))))</f>
        <v>3231.0991360126068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54.922305593208876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4557.7250893862383</v>
      </c>
      <c r="G84">
        <f ca="1">IF($C84-G$1&lt;År1,0,F83*(1-VLOOKUP($A84,[1]Hugst!$R$5:$W$9,MATCH(ROUNDUP((G$1)/10,0)*10,[1]Hugst!$R$4:$W$4,0))))</f>
        <v>4556.6264485611628</v>
      </c>
      <c r="H84">
        <f ca="1">IF($C84-H$1&lt;År1,0,G83*(1-VLOOKUP($A84,[1]Hugst!$R$5:$W$9,MATCH(ROUNDUP((H$1)/10,0)*10,[1]Hugst!$R$4:$W$4,0))))</f>
        <v>4556.2277908750566</v>
      </c>
      <c r="I84">
        <f ca="1">IF($C84-I$1&lt;År1,0,H83*(1-VLOOKUP($A84,[1]Hugst!$R$5:$W$9,MATCH(ROUNDUP((I$1)/10,0)*10,[1]Hugst!$R$4:$W$4,0))))</f>
        <v>4555.8369814617399</v>
      </c>
      <c r="J84">
        <f ca="1">IF($C84-J$1&lt;År1,0,I83*(1-VLOOKUP($A84,[1]Hugst!$R$5:$W$9,MATCH(ROUNDUP((J$1)/10,0)*10,[1]Hugst!$R$4:$W$4,0))))</f>
        <v>4555.4540748105992</v>
      </c>
      <c r="K84">
        <f ca="1">IF($C84-K$1&lt;År1,0,J83*(1-VLOOKUP($A84,[1]Hugst!$R$5:$W$9,MATCH(ROUNDUP((K$1)/10,0)*10,[1]Hugst!$R$4:$W$4,0))))</f>
        <v>4555.0791257078599</v>
      </c>
      <c r="L84">
        <f ca="1">IF($C84-L$1&lt;År1,0,K83*(1-VLOOKUP($A84,[1]Hugst!$R$5:$W$9,MATCH(ROUNDUP((L$1)/10,0)*10,[1]Hugst!$R$4:$W$4,0))))</f>
        <v>4554.7121892379037</v>
      </c>
      <c r="M84">
        <f ca="1">IF($C84-M$1&lt;År1,0,L83*(1-VLOOKUP($A84,[1]Hugst!$R$5:$W$9,MATCH(ROUNDUP((M$1)/10,0)*10,[1]Hugst!$R$4:$W$4,0))))</f>
        <v>4554.3533207851833</v>
      </c>
      <c r="N84">
        <f ca="1">IF($C84-N$1&lt;År1,0,M83*(1-VLOOKUP($A84,[1]Hugst!$R$5:$W$9,MATCH(ROUNDUP((N$1)/10,0)*10,[1]Hugst!$R$4:$W$4,0))))</f>
        <v>4554.0025760354492</v>
      </c>
      <c r="O84">
        <f ca="1">IF($C84-O$1&lt;År1,0,N83*(1-VLOOKUP($A84,[1]Hugst!$R$5:$W$9,MATCH(ROUNDUP((O$1)/10,0)*10,[1]Hugst!$R$4:$W$4,0))))</f>
        <v>4553.6600109773863</v>
      </c>
      <c r="P84">
        <f ca="1">IF($C84-P$1&lt;År1,0,O83*(1-VLOOKUP($A84,[1]Hugst!$R$5:$W$9,MATCH(ROUNDUP((P$1)/10,0)*10,[1]Hugst!$R$4:$W$4,0))))</f>
        <v>3233.0104545568729</v>
      </c>
      <c r="Q84">
        <f ca="1">IF($C84-Q$1&lt;År1,0,P83*(1-VLOOKUP($A84,[1]Hugst!$R$5:$W$9,MATCH(ROUNDUP((Q$1)/10,0)*10,[1]Hugst!$R$4:$W$4,0))))</f>
        <v>3227.7537011341469</v>
      </c>
      <c r="R84">
        <f ca="1">IF($C84-R$1&lt;År1,0,Q83*(1-VLOOKUP($A84,[1]Hugst!$R$5:$W$9,MATCH(ROUNDUP((R$1)/10,0)*10,[1]Hugst!$R$4:$W$4,0))))</f>
        <v>3227.5106127396948</v>
      </c>
      <c r="S84">
        <f ca="1">IF($C84-S$1&lt;År1,0,R83*(1-VLOOKUP($A84,[1]Hugst!$R$5:$W$9,MATCH(ROUNDUP((S$1)/10,0)*10,[1]Hugst!$R$4:$W$4,0))))</f>
        <v>3227.2842399967076</v>
      </c>
      <c r="T84">
        <f ca="1">IF($C84-T$1&lt;År1,0,S83*(1-VLOOKUP($A84,[1]Hugst!$R$5:$W$9,MATCH(ROUNDUP((T$1)/10,0)*10,[1]Hugst!$R$4:$W$4,0))))</f>
        <v>3227.0746144835671</v>
      </c>
      <c r="U84">
        <f ca="1">IF($C84-U$1&lt;År1,0,T83*(1-VLOOKUP($A84,[1]Hugst!$R$5:$W$9,MATCH(ROUNDUP((U$1)/10,0)*10,[1]Hugst!$R$4:$W$4,0))))</f>
        <v>3226.881767929739</v>
      </c>
      <c r="V84">
        <f ca="1">IF($C84-V$1&lt;År1,0,U83*(1-VLOOKUP($A84,[1]Hugst!$R$5:$W$9,MATCH(ROUNDUP((V$1)/10,0)*10,[1]Hugst!$R$4:$W$4,0))))</f>
        <v>3226.7057322163032</v>
      </c>
      <c r="W84">
        <f ca="1">IF($C84-W$1&lt;År1,0,V83*(1-VLOOKUP($A84,[1]Hugst!$R$5:$W$9,MATCH(ROUNDUP((W$1)/10,0)*10,[1]Hugst!$R$4:$W$4,0))))</f>
        <v>3226.5465393763966</v>
      </c>
      <c r="X84">
        <f ca="1">IF($C84-X$1&lt;År1,0,W83*(1-VLOOKUP($A84,[1]Hugst!$R$5:$W$9,MATCH(ROUNDUP((X$1)/10,0)*10,[1]Hugst!$R$4:$W$4,0))))</f>
        <v>3226.4042215957229</v>
      </c>
      <c r="Y84">
        <f ca="1">IF($C84-Y$1&lt;År1,0,X83*(1-VLOOKUP($A84,[1]Hugst!$R$5:$W$9,MATCH(ROUNDUP((Y$1)/10,0)*10,[1]Hugst!$R$4:$W$4,0))))</f>
        <v>3226.278811212957</v>
      </c>
      <c r="Z84">
        <f ca="1">IF($C84-Z$1&lt;År1,0,Y83*(1-VLOOKUP($A84,[1]Hugst!$R$5:$W$9,MATCH(ROUNDUP((Z$1)/10,0)*10,[1]Hugst!$R$4:$W$4,0))))</f>
        <v>3225.4857858186865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62.467131216064445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4560.8423208432305</v>
      </c>
      <c r="G85">
        <f ca="1">IF($C85-G$1&lt;År1,0,F84*(1-VLOOKUP($A85,[1]Hugst!$R$5:$W$9,MATCH(ROUNDUP((G$1)/10,0)*10,[1]Hugst!$R$4:$W$4,0))))</f>
        <v>4557.7250893862383</v>
      </c>
      <c r="H85">
        <f ca="1">IF($C85-H$1&lt;År1,0,G84*(1-VLOOKUP($A85,[1]Hugst!$R$5:$W$9,MATCH(ROUNDUP((H$1)/10,0)*10,[1]Hugst!$R$4:$W$4,0))))</f>
        <v>4556.6264485611628</v>
      </c>
      <c r="I85">
        <f ca="1">IF($C85-I$1&lt;År1,0,H84*(1-VLOOKUP($A85,[1]Hugst!$R$5:$W$9,MATCH(ROUNDUP((I$1)/10,0)*10,[1]Hugst!$R$4:$W$4,0))))</f>
        <v>4556.2277908750566</v>
      </c>
      <c r="J85">
        <f ca="1">IF($C85-J$1&lt;År1,0,I84*(1-VLOOKUP($A85,[1]Hugst!$R$5:$W$9,MATCH(ROUNDUP((J$1)/10,0)*10,[1]Hugst!$R$4:$W$4,0))))</f>
        <v>4555.8369814617399</v>
      </c>
      <c r="K85">
        <f ca="1">IF($C85-K$1&lt;År1,0,J84*(1-VLOOKUP($A85,[1]Hugst!$R$5:$W$9,MATCH(ROUNDUP((K$1)/10,0)*10,[1]Hugst!$R$4:$W$4,0))))</f>
        <v>4555.4540748105992</v>
      </c>
      <c r="L85">
        <f ca="1">IF($C85-L$1&lt;År1,0,K84*(1-VLOOKUP($A85,[1]Hugst!$R$5:$W$9,MATCH(ROUNDUP((L$1)/10,0)*10,[1]Hugst!$R$4:$W$4,0))))</f>
        <v>4555.0791257078599</v>
      </c>
      <c r="M85">
        <f ca="1">IF($C85-M$1&lt;År1,0,L84*(1-VLOOKUP($A85,[1]Hugst!$R$5:$W$9,MATCH(ROUNDUP((M$1)/10,0)*10,[1]Hugst!$R$4:$W$4,0))))</f>
        <v>4554.7121892379037</v>
      </c>
      <c r="N85">
        <f ca="1">IF($C85-N$1&lt;År1,0,M84*(1-VLOOKUP($A85,[1]Hugst!$R$5:$W$9,MATCH(ROUNDUP((N$1)/10,0)*10,[1]Hugst!$R$4:$W$4,0))))</f>
        <v>4554.3533207851833</v>
      </c>
      <c r="O85">
        <f ca="1">IF($C85-O$1&lt;År1,0,N84*(1-VLOOKUP($A85,[1]Hugst!$R$5:$W$9,MATCH(ROUNDUP((O$1)/10,0)*10,[1]Hugst!$R$4:$W$4,0))))</f>
        <v>4554.0025760354492</v>
      </c>
      <c r="P85">
        <f ca="1">IF($C85-P$1&lt;År1,0,O84*(1-VLOOKUP($A85,[1]Hugst!$R$5:$W$9,MATCH(ROUNDUP((P$1)/10,0)*10,[1]Hugst!$R$4:$W$4,0))))</f>
        <v>4546.7137499436922</v>
      </c>
      <c r="Q85">
        <f ca="1">IF($C85-Q$1&lt;År1,0,P84*(1-VLOOKUP($A85,[1]Hugst!$R$5:$W$9,MATCH(ROUNDUP((Q$1)/10,0)*10,[1]Hugst!$R$4:$W$4,0))))</f>
        <v>3228.0787436939895</v>
      </c>
      <c r="R85">
        <f ca="1">IF($C85-R$1&lt;År1,0,Q84*(1-VLOOKUP($A85,[1]Hugst!$R$5:$W$9,MATCH(ROUNDUP((R$1)/10,0)*10,[1]Hugst!$R$4:$W$4,0))))</f>
        <v>3222.830009047671</v>
      </c>
      <c r="S85">
        <f ca="1">IF($C85-S$1&lt;År1,0,R84*(1-VLOOKUP($A85,[1]Hugst!$R$5:$W$9,MATCH(ROUNDUP((S$1)/10,0)*10,[1]Hugst!$R$4:$W$4,0))))</f>
        <v>3222.587291466024</v>
      </c>
      <c r="T85">
        <f ca="1">IF($C85-T$1&lt;År1,0,S84*(1-VLOOKUP($A85,[1]Hugst!$R$5:$W$9,MATCH(ROUNDUP((T$1)/10,0)*10,[1]Hugst!$R$4:$W$4,0))))</f>
        <v>3222.3612640373904</v>
      </c>
      <c r="U85">
        <f ca="1">IF($C85-U$1&lt;År1,0,T84*(1-VLOOKUP($A85,[1]Hugst!$R$5:$W$9,MATCH(ROUNDUP((U$1)/10,0)*10,[1]Hugst!$R$4:$W$4,0))))</f>
        <v>3222.1519582919818</v>
      </c>
      <c r="V85">
        <f ca="1">IF($C85-V$1&lt;År1,0,U84*(1-VLOOKUP($A85,[1]Hugst!$R$5:$W$9,MATCH(ROUNDUP((V$1)/10,0)*10,[1]Hugst!$R$4:$W$4,0))))</f>
        <v>3221.9594059108631</v>
      </c>
      <c r="W85">
        <f ca="1">IF($C85-W$1&lt;År1,0,V84*(1-VLOOKUP($A85,[1]Hugst!$R$5:$W$9,MATCH(ROUNDUP((W$1)/10,0)*10,[1]Hugst!$R$4:$W$4,0))))</f>
        <v>3221.7836387264815</v>
      </c>
      <c r="X85">
        <f ca="1">IF($C85-X$1&lt;År1,0,W84*(1-VLOOKUP($A85,[1]Hugst!$R$5:$W$9,MATCH(ROUNDUP((X$1)/10,0)*10,[1]Hugst!$R$4:$W$4,0))))</f>
        <v>3221.6246887231105</v>
      </c>
      <c r="Y85">
        <f ca="1">IF($C85-Y$1&lt;År1,0,X84*(1-VLOOKUP($A85,[1]Hugst!$R$5:$W$9,MATCH(ROUNDUP((Y$1)/10,0)*10,[1]Hugst!$R$4:$W$4,0))))</f>
        <v>3221.4825880373564</v>
      </c>
      <c r="Z85">
        <f ca="1">IF($C85-Z$1&lt;År1,0,Y84*(1-VLOOKUP($A85,[1]Hugst!$R$5:$W$9,MATCH(ROUNDUP((Z$1)/10,0)*10,[1]Hugst!$R$4:$W$4,0))))</f>
        <v>3220.6738353121209</v>
      </c>
      <c r="AA85">
        <f ca="1">IF($C85-AA$1&lt;År1,0,Z84*(1-VLOOKUP($A85,[1]Hugst!$R$5:$W$9,MATCH(ROUNDUP((AA$1)/10,0)*10,[1]Hugst!$R$4:$W$4,0))))</f>
        <v>3219.8821876314591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69.998768761943211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4563.968502194044</v>
      </c>
      <c r="G86">
        <f ca="1">IF($C86-G$1&lt;År1,0,F85*(1-VLOOKUP($A86,[1]Hugst!$R$5:$W$9,MATCH(ROUNDUP((G$1)/10,0)*10,[1]Hugst!$R$4:$W$4,0))))</f>
        <v>4560.8423208432305</v>
      </c>
      <c r="H86">
        <f ca="1">IF($C86-H$1&lt;År1,0,G85*(1-VLOOKUP($A86,[1]Hugst!$R$5:$W$9,MATCH(ROUNDUP((H$1)/10,0)*10,[1]Hugst!$R$4:$W$4,0))))</f>
        <v>4557.7250893862383</v>
      </c>
      <c r="I86">
        <f ca="1">IF($C86-I$1&lt;År1,0,H85*(1-VLOOKUP($A86,[1]Hugst!$R$5:$W$9,MATCH(ROUNDUP((I$1)/10,0)*10,[1]Hugst!$R$4:$W$4,0))))</f>
        <v>4556.6264485611628</v>
      </c>
      <c r="J86">
        <f ca="1">IF($C86-J$1&lt;År1,0,I85*(1-VLOOKUP($A86,[1]Hugst!$R$5:$W$9,MATCH(ROUNDUP((J$1)/10,0)*10,[1]Hugst!$R$4:$W$4,0))))</f>
        <v>4556.2277908750566</v>
      </c>
      <c r="K86">
        <f ca="1">IF($C86-K$1&lt;År1,0,J85*(1-VLOOKUP($A86,[1]Hugst!$R$5:$W$9,MATCH(ROUNDUP((K$1)/10,0)*10,[1]Hugst!$R$4:$W$4,0))))</f>
        <v>4555.8369814617399</v>
      </c>
      <c r="L86">
        <f ca="1">IF($C86-L$1&lt;År1,0,K85*(1-VLOOKUP($A86,[1]Hugst!$R$5:$W$9,MATCH(ROUNDUP((L$1)/10,0)*10,[1]Hugst!$R$4:$W$4,0))))</f>
        <v>4555.4540748105992</v>
      </c>
      <c r="M86">
        <f ca="1">IF($C86-M$1&lt;År1,0,L85*(1-VLOOKUP($A86,[1]Hugst!$R$5:$W$9,MATCH(ROUNDUP((M$1)/10,0)*10,[1]Hugst!$R$4:$W$4,0))))</f>
        <v>4555.0791257078599</v>
      </c>
      <c r="N86">
        <f ca="1">IF($C86-N$1&lt;År1,0,M85*(1-VLOOKUP($A86,[1]Hugst!$R$5:$W$9,MATCH(ROUNDUP((N$1)/10,0)*10,[1]Hugst!$R$4:$W$4,0))))</f>
        <v>4554.7121892379037</v>
      </c>
      <c r="O86">
        <f ca="1">IF($C86-O$1&lt;År1,0,N85*(1-VLOOKUP($A86,[1]Hugst!$R$5:$W$9,MATCH(ROUNDUP((O$1)/10,0)*10,[1]Hugst!$R$4:$W$4,0))))</f>
        <v>4554.3533207851833</v>
      </c>
      <c r="P86">
        <f ca="1">IF($C86-P$1&lt;År1,0,O85*(1-VLOOKUP($A86,[1]Hugst!$R$5:$W$9,MATCH(ROUNDUP((P$1)/10,0)*10,[1]Hugst!$R$4:$W$4,0))))</f>
        <v>4547.0557924448867</v>
      </c>
      <c r="Q86">
        <f ca="1">IF($C86-Q$1&lt;År1,0,P85*(1-VLOOKUP($A86,[1]Hugst!$R$5:$W$9,MATCH(ROUNDUP((Q$1)/10,0)*10,[1]Hugst!$R$4:$W$4,0))))</f>
        <v>4539.7780849014052</v>
      </c>
      <c r="R86">
        <f ca="1">IF($C86-R$1&lt;År1,0,Q85*(1-VLOOKUP($A86,[1]Hugst!$R$5:$W$9,MATCH(ROUNDUP((R$1)/10,0)*10,[1]Hugst!$R$4:$W$4,0))))</f>
        <v>3223.15455577988</v>
      </c>
      <c r="S86">
        <f ca="1">IF($C86-S$1&lt;År1,0,R85*(1-VLOOKUP($A86,[1]Hugst!$R$5:$W$9,MATCH(ROUNDUP((S$1)/10,0)*10,[1]Hugst!$R$4:$W$4,0))))</f>
        <v>3217.9138276779372</v>
      </c>
      <c r="T86">
        <f ca="1">IF($C86-T$1&lt;År1,0,S85*(1-VLOOKUP($A86,[1]Hugst!$R$5:$W$9,MATCH(ROUNDUP((T$1)/10,0)*10,[1]Hugst!$R$4:$W$4,0))))</f>
        <v>3217.6714803434488</v>
      </c>
      <c r="U86">
        <f ca="1">IF($C86-U$1&lt;År1,0,T85*(1-VLOOKUP($A86,[1]Hugst!$R$5:$W$9,MATCH(ROUNDUP((U$1)/10,0)*10,[1]Hugst!$R$4:$W$4,0))))</f>
        <v>3217.4457977024181</v>
      </c>
      <c r="V86">
        <f ca="1">IF($C86-V$1&lt;År1,0,U85*(1-VLOOKUP($A86,[1]Hugst!$R$5:$W$9,MATCH(ROUNDUP((V$1)/10,0)*10,[1]Hugst!$R$4:$W$4,0))))</f>
        <v>3217.23681123696</v>
      </c>
      <c r="W86">
        <f ca="1">IF($C86-W$1&lt;År1,0,V85*(1-VLOOKUP($A86,[1]Hugst!$R$5:$W$9,MATCH(ROUNDUP((W$1)/10,0)*10,[1]Hugst!$R$4:$W$4,0))))</f>
        <v>3217.0445525798127</v>
      </c>
      <c r="X86">
        <f ca="1">IF($C86-X$1&lt;År1,0,W85*(1-VLOOKUP($A86,[1]Hugst!$R$5:$W$9,MATCH(ROUNDUP((X$1)/10,0)*10,[1]Hugst!$R$4:$W$4,0))))</f>
        <v>3216.8690535148648</v>
      </c>
      <c r="Y86">
        <f ca="1">IF($C86-Y$1&lt;År1,0,X85*(1-VLOOKUP($A86,[1]Hugst!$R$5:$W$9,MATCH(ROUNDUP((Y$1)/10,0)*10,[1]Hugst!$R$4:$W$4,0))))</f>
        <v>3216.7103459776004</v>
      </c>
      <c r="Z86">
        <f ca="1">IF($C86-Z$1&lt;År1,0,Y85*(1-VLOOKUP($A86,[1]Hugst!$R$5:$W$9,MATCH(ROUNDUP((Z$1)/10,0)*10,[1]Hugst!$R$4:$W$4,0))))</f>
        <v>3215.8859445581388</v>
      </c>
      <c r="AA86">
        <f ca="1">IF($C86-AA$1&lt;År1,0,Z85*(1-VLOOKUP($A86,[1]Hugst!$R$5:$W$9,MATCH(ROUNDUP((AA$1)/10,0)*10,[1]Hugst!$R$4:$W$4,0))))</f>
        <v>3215.0785968694177</v>
      </c>
      <c r="AB86">
        <f ca="1">IF($C86-AB$1&lt;År1,0,AA85*(1-VLOOKUP($A86,[1]Hugst!$R$5:$W$9,MATCH(ROUNDUP((AB$1)/10,0)*10,[1]Hugst!$R$4:$W$4,0))))</f>
        <v>3214.2883245088788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77.517259731277591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4567.1035642492952</v>
      </c>
      <c r="G87">
        <f ca="1">IF($C87-G$1&lt;År1,0,F86*(1-VLOOKUP($A87,[1]Hugst!$R$5:$W$9,MATCH(ROUNDUP((G$1)/10,0)*10,[1]Hugst!$R$4:$W$4,0))))</f>
        <v>4563.968502194044</v>
      </c>
      <c r="H87">
        <f ca="1">IF($C87-H$1&lt;År1,0,G86*(1-VLOOKUP($A87,[1]Hugst!$R$5:$W$9,MATCH(ROUNDUP((H$1)/10,0)*10,[1]Hugst!$R$4:$W$4,0))))</f>
        <v>4560.8423208432305</v>
      </c>
      <c r="I87">
        <f ca="1">IF($C87-I$1&lt;År1,0,H86*(1-VLOOKUP($A87,[1]Hugst!$R$5:$W$9,MATCH(ROUNDUP((I$1)/10,0)*10,[1]Hugst!$R$4:$W$4,0))))</f>
        <v>4557.7250893862383</v>
      </c>
      <c r="J87">
        <f ca="1">IF($C87-J$1&lt;År1,0,I86*(1-VLOOKUP($A87,[1]Hugst!$R$5:$W$9,MATCH(ROUNDUP((J$1)/10,0)*10,[1]Hugst!$R$4:$W$4,0))))</f>
        <v>4556.6264485611628</v>
      </c>
      <c r="K87">
        <f ca="1">IF($C87-K$1&lt;År1,0,J86*(1-VLOOKUP($A87,[1]Hugst!$R$5:$W$9,MATCH(ROUNDUP((K$1)/10,0)*10,[1]Hugst!$R$4:$W$4,0))))</f>
        <v>4556.2277908750566</v>
      </c>
      <c r="L87">
        <f ca="1">IF($C87-L$1&lt;År1,0,K86*(1-VLOOKUP($A87,[1]Hugst!$R$5:$W$9,MATCH(ROUNDUP((L$1)/10,0)*10,[1]Hugst!$R$4:$W$4,0))))</f>
        <v>4555.8369814617399</v>
      </c>
      <c r="M87">
        <f ca="1">IF($C87-M$1&lt;År1,0,L86*(1-VLOOKUP($A87,[1]Hugst!$R$5:$W$9,MATCH(ROUNDUP((M$1)/10,0)*10,[1]Hugst!$R$4:$W$4,0))))</f>
        <v>4555.4540748105992</v>
      </c>
      <c r="N87">
        <f ca="1">IF($C87-N$1&lt;År1,0,M86*(1-VLOOKUP($A87,[1]Hugst!$R$5:$W$9,MATCH(ROUNDUP((N$1)/10,0)*10,[1]Hugst!$R$4:$W$4,0))))</f>
        <v>4555.0791257078599</v>
      </c>
      <c r="O87">
        <f ca="1">IF($C87-O$1&lt;År1,0,N86*(1-VLOOKUP($A87,[1]Hugst!$R$5:$W$9,MATCH(ROUNDUP((O$1)/10,0)*10,[1]Hugst!$R$4:$W$4,0))))</f>
        <v>4554.7121892379037</v>
      </c>
      <c r="P87">
        <f ca="1">IF($C87-P$1&lt;År1,0,O86*(1-VLOOKUP($A87,[1]Hugst!$R$5:$W$9,MATCH(ROUNDUP((P$1)/10,0)*10,[1]Hugst!$R$4:$W$4,0))))</f>
        <v>4547.4060021602563</v>
      </c>
      <c r="Q87">
        <f ca="1">IF($C87-Q$1&lt;År1,0,P86*(1-VLOOKUP($A87,[1]Hugst!$R$5:$W$9,MATCH(ROUNDUP((Q$1)/10,0)*10,[1]Hugst!$R$4:$W$4,0))))</f>
        <v>4540.1196056428516</v>
      </c>
      <c r="R87">
        <f ca="1">IF($C87-R$1&lt;År1,0,Q86*(1-VLOOKUP($A87,[1]Hugst!$R$5:$W$9,MATCH(ROUNDUP((R$1)/10,0)*10,[1]Hugst!$R$4:$W$4,0))))</f>
        <v>4532.8529996871484</v>
      </c>
      <c r="S87">
        <f ca="1">IF($C87-S$1&lt;År1,0,R86*(1-VLOOKUP($A87,[1]Hugst!$R$5:$W$9,MATCH(ROUNDUP((S$1)/10,0)*10,[1]Hugst!$R$4:$W$4,0))))</f>
        <v>3218.2378793388598</v>
      </c>
      <c r="T87">
        <f ca="1">IF($C87-T$1&lt;År1,0,S86*(1-VLOOKUP($A87,[1]Hugst!$R$5:$W$9,MATCH(ROUNDUP((T$1)/10,0)*10,[1]Hugst!$R$4:$W$4,0))))</f>
        <v>3213.00514556792</v>
      </c>
      <c r="U87">
        <f ca="1">IF($C87-U$1&lt;År1,0,T86*(1-VLOOKUP($A87,[1]Hugst!$R$5:$W$9,MATCH(ROUNDUP((U$1)/10,0)*10,[1]Hugst!$R$4:$W$4,0))))</f>
        <v>3212.7631679158062</v>
      </c>
      <c r="V87">
        <f ca="1">IF($C87-V$1&lt;År1,0,U86*(1-VLOOKUP($A87,[1]Hugst!$R$5:$W$9,MATCH(ROUNDUP((V$1)/10,0)*10,[1]Hugst!$R$4:$W$4,0))))</f>
        <v>3212.5378295364312</v>
      </c>
      <c r="W87">
        <f ca="1">IF($C87-W$1&lt;År1,0,V86*(1-VLOOKUP($A87,[1]Hugst!$R$5:$W$9,MATCH(ROUNDUP((W$1)/10,0)*10,[1]Hugst!$R$4:$W$4,0))))</f>
        <v>3212.3291618638864</v>
      </c>
      <c r="X87">
        <f ca="1">IF($C87-X$1&lt;År1,0,W86*(1-VLOOKUP($A87,[1]Hugst!$R$5:$W$9,MATCH(ROUNDUP((X$1)/10,0)*10,[1]Hugst!$R$4:$W$4,0))))</f>
        <v>3212.1371964826571</v>
      </c>
      <c r="Y87">
        <f ca="1">IF($C87-Y$1&lt;År1,0,X86*(1-VLOOKUP($A87,[1]Hugst!$R$5:$W$9,MATCH(ROUNDUP((Y$1)/10,0)*10,[1]Hugst!$R$4:$W$4,0))))</f>
        <v>3211.9619651281473</v>
      </c>
      <c r="Z87">
        <f ca="1">IF($C87-Z$1&lt;År1,0,Y86*(1-VLOOKUP($A87,[1]Hugst!$R$5:$W$9,MATCH(ROUNDUP((Z$1)/10,0)*10,[1]Hugst!$R$4:$W$4,0))))</f>
        <v>3211.1219932578933</v>
      </c>
      <c r="AA87">
        <f ca="1">IF($C87-AA$1&lt;År1,0,Z86*(1-VLOOKUP($A87,[1]Hugst!$R$5:$W$9,MATCH(ROUNDUP((AA$1)/10,0)*10,[1]Hugst!$R$4:$W$4,0))))</f>
        <v>3210.2990240612367</v>
      </c>
      <c r="AB87">
        <f ca="1">IF($C87-AB$1&lt;År1,0,AA86*(1-VLOOKUP($A87,[1]Hugst!$R$5:$W$9,MATCH(ROUNDUP((AB$1)/10,0)*10,[1]Hugst!$R$4:$W$4,0))))</f>
        <v>3209.4930789680766</v>
      </c>
      <c r="AC87">
        <f ca="1">IF($C87-AC$1&lt;År1,0,AB86*(1-VLOOKUP($A87,[1]Hugst!$R$5:$W$9,MATCH(ROUNDUP((AC$1)/10,0)*10,[1]Hugst!$R$4:$W$4,0))))</f>
        <v>3208.7041795383334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85.022645435048616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4570.2474381835691</v>
      </c>
      <c r="G88">
        <f ca="1">IF($C88-G$1&lt;År1,0,F87*(1-VLOOKUP($A88,[1]Hugst!$R$5:$W$9,MATCH(ROUNDUP((G$1)/10,0)*10,[1]Hugst!$R$4:$W$4,0))))</f>
        <v>4567.1035642492952</v>
      </c>
      <c r="H88">
        <f ca="1">IF($C88-H$1&lt;År1,0,G87*(1-VLOOKUP($A88,[1]Hugst!$R$5:$W$9,MATCH(ROUNDUP((H$1)/10,0)*10,[1]Hugst!$R$4:$W$4,0))))</f>
        <v>4563.968502194044</v>
      </c>
      <c r="I88">
        <f ca="1">IF($C88-I$1&lt;År1,0,H87*(1-VLOOKUP($A88,[1]Hugst!$R$5:$W$9,MATCH(ROUNDUP((I$1)/10,0)*10,[1]Hugst!$R$4:$W$4,0))))</f>
        <v>4560.8423208432305</v>
      </c>
      <c r="J88">
        <f ca="1">IF($C88-J$1&lt;År1,0,I87*(1-VLOOKUP($A88,[1]Hugst!$R$5:$W$9,MATCH(ROUNDUP((J$1)/10,0)*10,[1]Hugst!$R$4:$W$4,0))))</f>
        <v>4557.7250893862383</v>
      </c>
      <c r="K88">
        <f ca="1">IF($C88-K$1&lt;År1,0,J87*(1-VLOOKUP($A88,[1]Hugst!$R$5:$W$9,MATCH(ROUNDUP((K$1)/10,0)*10,[1]Hugst!$R$4:$W$4,0))))</f>
        <v>4556.6264485611628</v>
      </c>
      <c r="L88">
        <f ca="1">IF($C88-L$1&lt;År1,0,K87*(1-VLOOKUP($A88,[1]Hugst!$R$5:$W$9,MATCH(ROUNDUP((L$1)/10,0)*10,[1]Hugst!$R$4:$W$4,0))))</f>
        <v>4556.2277908750566</v>
      </c>
      <c r="M88">
        <f ca="1">IF($C88-M$1&lt;År1,0,L87*(1-VLOOKUP($A88,[1]Hugst!$R$5:$W$9,MATCH(ROUNDUP((M$1)/10,0)*10,[1]Hugst!$R$4:$W$4,0))))</f>
        <v>4555.8369814617399</v>
      </c>
      <c r="N88">
        <f ca="1">IF($C88-N$1&lt;År1,0,M87*(1-VLOOKUP($A88,[1]Hugst!$R$5:$W$9,MATCH(ROUNDUP((N$1)/10,0)*10,[1]Hugst!$R$4:$W$4,0))))</f>
        <v>4555.4540748105992</v>
      </c>
      <c r="O88">
        <f ca="1">IF($C88-O$1&lt;År1,0,N87*(1-VLOOKUP($A88,[1]Hugst!$R$5:$W$9,MATCH(ROUNDUP((O$1)/10,0)*10,[1]Hugst!$R$4:$W$4,0))))</f>
        <v>4555.0791257078599</v>
      </c>
      <c r="P88">
        <f ca="1">IF($C88-P$1&lt;År1,0,O87*(1-VLOOKUP($A88,[1]Hugst!$R$5:$W$9,MATCH(ROUNDUP((P$1)/10,0)*10,[1]Hugst!$R$4:$W$4,0))))</f>
        <v>4547.7643231865241</v>
      </c>
      <c r="Q88">
        <f ca="1">IF($C88-Q$1&lt;År1,0,P87*(1-VLOOKUP($A88,[1]Hugst!$R$5:$W$9,MATCH(ROUNDUP((Q$1)/10,0)*10,[1]Hugst!$R$4:$W$4,0))))</f>
        <v>4540.4692811400118</v>
      </c>
      <c r="R88">
        <f ca="1">IF($C88-R$1&lt;År1,0,Q87*(1-VLOOKUP($A88,[1]Hugst!$R$5:$W$9,MATCH(ROUNDUP((R$1)/10,0)*10,[1]Hugst!$R$4:$W$4,0))))</f>
        <v>4533.1939994647519</v>
      </c>
      <c r="S88">
        <f ca="1">IF($C88-S$1&lt;År1,0,R87*(1-VLOOKUP($A88,[1]Hugst!$R$5:$W$9,MATCH(ROUNDUP((S$1)/10,0)*10,[1]Hugst!$R$4:$W$4,0))))</f>
        <v>4525.938478162202</v>
      </c>
      <c r="T88">
        <f ca="1">IF($C88-T$1&lt;År1,0,S87*(1-VLOOKUP($A88,[1]Hugst!$R$5:$W$9,MATCH(ROUNDUP((T$1)/10,0)*10,[1]Hugst!$R$4:$W$4,0))))</f>
        <v>3213.3287029127496</v>
      </c>
      <c r="U88">
        <f ca="1">IF($C88-U$1&lt;År1,0,T87*(1-VLOOKUP($A88,[1]Hugst!$R$5:$W$9,MATCH(ROUNDUP((U$1)/10,0)*10,[1]Hugst!$R$4:$W$4,0))))</f>
        <v>3208.1039512780703</v>
      </c>
      <c r="V88">
        <f ca="1">IF($C88-V$1&lt;År1,0,U87*(1-VLOOKUP($A88,[1]Hugst!$R$5:$W$9,MATCH(ROUNDUP((V$1)/10,0)*10,[1]Hugst!$R$4:$W$4,0))))</f>
        <v>3207.862342744409</v>
      </c>
      <c r="W88">
        <f ca="1">IF($C88-W$1&lt;År1,0,V87*(1-VLOOKUP($A88,[1]Hugst!$R$5:$W$9,MATCH(ROUNDUP((W$1)/10,0)*10,[1]Hugst!$R$4:$W$4,0))))</f>
        <v>3207.6373481015448</v>
      </c>
      <c r="X88">
        <f ca="1">IF($C88-X$1&lt;År1,0,W87*(1-VLOOKUP($A88,[1]Hugst!$R$5:$W$9,MATCH(ROUNDUP((X$1)/10,0)*10,[1]Hugst!$R$4:$W$4,0))))</f>
        <v>3207.4289987356192</v>
      </c>
      <c r="Y88">
        <f ca="1">IF($C88-Y$1&lt;År1,0,X87*(1-VLOOKUP($A88,[1]Hugst!$R$5:$W$9,MATCH(ROUNDUP((Y$1)/10,0)*10,[1]Hugst!$R$4:$W$4,0))))</f>
        <v>3207.2373261829375</v>
      </c>
      <c r="Z88">
        <f ca="1">IF($C88-Z$1&lt;År1,0,Y87*(1-VLOOKUP($A88,[1]Hugst!$R$5:$W$9,MATCH(ROUNDUP((Z$1)/10,0)*10,[1]Hugst!$R$4:$W$4,0))))</f>
        <v>3206.3818617141533</v>
      </c>
      <c r="AA88">
        <f ca="1">IF($C88-AA$1&lt;År1,0,Z87*(1-VLOOKUP($A88,[1]Hugst!$R$5:$W$9,MATCH(ROUNDUP((AA$1)/10,0)*10,[1]Hugst!$R$4:$W$4,0))))</f>
        <v>3205.5433491170638</v>
      </c>
      <c r="AB88">
        <f ca="1">IF($C88-AB$1&lt;År1,0,AA87*(1-VLOOKUP($A88,[1]Hugst!$R$5:$W$9,MATCH(ROUNDUP((AB$1)/10,0)*10,[1]Hugst!$R$4:$W$4,0))))</f>
        <v>3204.7218096550282</v>
      </c>
      <c r="AC88">
        <f ca="1">IF($C88-AC$1&lt;År1,0,AB87*(1-VLOOKUP($A88,[1]Hugst!$R$5:$W$9,MATCH(ROUNDUP((AC$1)/10,0)*10,[1]Hugst!$R$4:$W$4,0))))</f>
        <v>3203.9172647207165</v>
      </c>
      <c r="AD88">
        <f ca="1">IF($C88-AD$1&lt;År1,0,AC87*(1-VLOOKUP($A88,[1]Hugst!$R$5:$W$9,MATCH(ROUNDUP((AD$1)/10,0)*10,[1]Hugst!$R$4:$W$4,0))))</f>
        <v>3203.1297358365928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92.514966995295254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4573.4000555331568</v>
      </c>
      <c r="G89">
        <f ca="1">IF($C89-G$1&lt;År1,0,F88*(1-VLOOKUP($A89,[1]Hugst!$R$5:$W$9,MATCH(ROUNDUP((G$1)/10,0)*10,[1]Hugst!$R$4:$W$4,0))))</f>
        <v>4570.2474381835691</v>
      </c>
      <c r="H89">
        <f ca="1">IF($C89-H$1&lt;År1,0,G88*(1-VLOOKUP($A89,[1]Hugst!$R$5:$W$9,MATCH(ROUNDUP((H$1)/10,0)*10,[1]Hugst!$R$4:$W$4,0))))</f>
        <v>4567.1035642492952</v>
      </c>
      <c r="I89">
        <f ca="1">IF($C89-I$1&lt;År1,0,H88*(1-VLOOKUP($A89,[1]Hugst!$R$5:$W$9,MATCH(ROUNDUP((I$1)/10,0)*10,[1]Hugst!$R$4:$W$4,0))))</f>
        <v>4563.968502194044</v>
      </c>
      <c r="J89">
        <f ca="1">IF($C89-J$1&lt;År1,0,I88*(1-VLOOKUP($A89,[1]Hugst!$R$5:$W$9,MATCH(ROUNDUP((J$1)/10,0)*10,[1]Hugst!$R$4:$W$4,0))))</f>
        <v>4560.8423208432305</v>
      </c>
      <c r="K89">
        <f ca="1">IF($C89-K$1&lt;År1,0,J88*(1-VLOOKUP($A89,[1]Hugst!$R$5:$W$9,MATCH(ROUNDUP((K$1)/10,0)*10,[1]Hugst!$R$4:$W$4,0))))</f>
        <v>4557.7250893862383</v>
      </c>
      <c r="L89">
        <f ca="1">IF($C89-L$1&lt;År1,0,K88*(1-VLOOKUP($A89,[1]Hugst!$R$5:$W$9,MATCH(ROUNDUP((L$1)/10,0)*10,[1]Hugst!$R$4:$W$4,0))))</f>
        <v>4556.6264485611628</v>
      </c>
      <c r="M89">
        <f ca="1">IF($C89-M$1&lt;År1,0,L88*(1-VLOOKUP($A89,[1]Hugst!$R$5:$W$9,MATCH(ROUNDUP((M$1)/10,0)*10,[1]Hugst!$R$4:$W$4,0))))</f>
        <v>4556.2277908750566</v>
      </c>
      <c r="N89">
        <f ca="1">IF($C89-N$1&lt;År1,0,M88*(1-VLOOKUP($A89,[1]Hugst!$R$5:$W$9,MATCH(ROUNDUP((N$1)/10,0)*10,[1]Hugst!$R$4:$W$4,0))))</f>
        <v>4555.8369814617399</v>
      </c>
      <c r="O89">
        <f ca="1">IF($C89-O$1&lt;År1,0,N88*(1-VLOOKUP($A89,[1]Hugst!$R$5:$W$9,MATCH(ROUNDUP((O$1)/10,0)*10,[1]Hugst!$R$4:$W$4,0))))</f>
        <v>4555.4540748105992</v>
      </c>
      <c r="P89">
        <f ca="1">IF($C89-P$1&lt;År1,0,O88*(1-VLOOKUP($A89,[1]Hugst!$R$5:$W$9,MATCH(ROUNDUP((P$1)/10,0)*10,[1]Hugst!$R$4:$W$4,0))))</f>
        <v>4548.1306999228818</v>
      </c>
      <c r="Q89">
        <f ca="1">IF($C89-Q$1&lt;År1,0,P88*(1-VLOOKUP($A89,[1]Hugst!$R$5:$W$9,MATCH(ROUNDUP((Q$1)/10,0)*10,[1]Hugst!$R$4:$W$4,0))))</f>
        <v>4540.8270555748832</v>
      </c>
      <c r="R89">
        <f ca="1">IF($C89-R$1&lt;År1,0,Q88*(1-VLOOKUP($A89,[1]Hugst!$R$5:$W$9,MATCH(ROUNDUP((R$1)/10,0)*10,[1]Hugst!$R$4:$W$4,0))))</f>
        <v>4533.5431415586118</v>
      </c>
      <c r="S89">
        <f ca="1">IF($C89-S$1&lt;År1,0,R88*(1-VLOOKUP($A89,[1]Hugst!$R$5:$W$9,MATCH(ROUNDUP((S$1)/10,0)*10,[1]Hugst!$R$4:$W$4,0))))</f>
        <v>4526.2789577706526</v>
      </c>
      <c r="T89">
        <f ca="1">IF($C89-T$1&lt;År1,0,S88*(1-VLOOKUP($A89,[1]Hugst!$R$5:$W$9,MATCH(ROUNDUP((T$1)/10,0)*10,[1]Hugst!$R$4:$W$4,0))))</f>
        <v>4519.0345042124627</v>
      </c>
      <c r="U89">
        <f ca="1">IF($C89-U$1&lt;År1,0,T88*(1-VLOOKUP($A89,[1]Hugst!$R$5:$W$9,MATCH(ROUNDUP((U$1)/10,0)*10,[1]Hugst!$R$4:$W$4,0))))</f>
        <v>3208.4270150608486</v>
      </c>
      <c r="V89">
        <f ca="1">IF($C89-V$1&lt;År1,0,U88*(1-VLOOKUP($A89,[1]Hugst!$R$5:$W$9,MATCH(ROUNDUP((V$1)/10,0)*10,[1]Hugst!$R$4:$W$4,0))))</f>
        <v>3203.2102333862899</v>
      </c>
      <c r="W89">
        <f ca="1">IF($C89-W$1&lt;År1,0,V88*(1-VLOOKUP($A89,[1]Hugst!$R$5:$W$9,MATCH(ROUNDUP((W$1)/10,0)*10,[1]Hugst!$R$4:$W$4,0))))</f>
        <v>3202.9689934080193</v>
      </c>
      <c r="X89">
        <f ca="1">IF($C89-X$1&lt;År1,0,W88*(1-VLOOKUP($A89,[1]Hugst!$R$5:$W$9,MATCH(ROUNDUP((X$1)/10,0)*10,[1]Hugst!$R$4:$W$4,0))))</f>
        <v>3202.7443419773222</v>
      </c>
      <c r="Y89">
        <f ca="1">IF($C89-Y$1&lt;År1,0,X88*(1-VLOOKUP($A89,[1]Hugst!$R$5:$W$9,MATCH(ROUNDUP((Y$1)/10,0)*10,[1]Hugst!$R$4:$W$4,0))))</f>
        <v>3202.5363104324629</v>
      </c>
      <c r="Z89">
        <f ca="1">IF($C89-Z$1&lt;År1,0,Y88*(1-VLOOKUP($A89,[1]Hugst!$R$5:$W$9,MATCH(ROUNDUP((Z$1)/10,0)*10,[1]Hugst!$R$4:$W$4,0))))</f>
        <v>3201.6654308281281</v>
      </c>
      <c r="AA89">
        <f ca="1">IF($C89-AA$1&lt;År1,0,Z88*(1-VLOOKUP($A89,[1]Hugst!$R$5:$W$9,MATCH(ROUNDUP((AA$1)/10,0)*10,[1]Hugst!$R$4:$W$4,0))))</f>
        <v>3200.8114525476158</v>
      </c>
      <c r="AB89">
        <f ca="1">IF($C89-AB$1&lt;År1,0,AA88*(1-VLOOKUP($A89,[1]Hugst!$R$5:$W$9,MATCH(ROUNDUP((AB$1)/10,0)*10,[1]Hugst!$R$4:$W$4,0))))</f>
        <v>3199.974396688513</v>
      </c>
      <c r="AC89">
        <f ca="1">IF($C89-AC$1&lt;År1,0,AB88*(1-VLOOKUP($A89,[1]Hugst!$R$5:$W$9,MATCH(ROUNDUP((AC$1)/10,0)*10,[1]Hugst!$R$4:$W$4,0))))</f>
        <v>3199.1542844772375</v>
      </c>
      <c r="AD89">
        <f ca="1">IF($C89-AD$1&lt;År1,0,AC88*(1-VLOOKUP($A89,[1]Hugst!$R$5:$W$9,MATCH(ROUNDUP((AD$1)/10,0)*10,[1]Hugst!$R$4:$W$4,0))))</f>
        <v>3198.3511372692947</v>
      </c>
      <c r="AE89">
        <f ca="1">IF($C89-AE$1&lt;År1,0,AD88*(1-VLOOKUP($A89,[1]Hugst!$R$5:$W$9,MATCH(ROUNDUP((AE$1)/10,0)*10,[1]Hugst!$R$4:$W$4,0))))</f>
        <v>3197.5649765497578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99.994265346496832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4576.5613481947858</v>
      </c>
      <c r="G90">
        <f ca="1">IF($C90-G$1&lt;År1,0,F89*(1-VLOOKUP($A90,[1]Hugst!$R$5:$W$9,MATCH(ROUNDUP((G$1)/10,0)*10,[1]Hugst!$R$4:$W$4,0))))</f>
        <v>4573.4000555331568</v>
      </c>
      <c r="H90">
        <f ca="1">IF($C90-H$1&lt;År1,0,G89*(1-VLOOKUP($A90,[1]Hugst!$R$5:$W$9,MATCH(ROUNDUP((H$1)/10,0)*10,[1]Hugst!$R$4:$W$4,0))))</f>
        <v>4570.2474381835691</v>
      </c>
      <c r="I90">
        <f ca="1">IF($C90-I$1&lt;År1,0,H89*(1-VLOOKUP($A90,[1]Hugst!$R$5:$W$9,MATCH(ROUNDUP((I$1)/10,0)*10,[1]Hugst!$R$4:$W$4,0))))</f>
        <v>4567.1035642492952</v>
      </c>
      <c r="J90">
        <f ca="1">IF($C90-J$1&lt;År1,0,I89*(1-VLOOKUP($A90,[1]Hugst!$R$5:$W$9,MATCH(ROUNDUP((J$1)/10,0)*10,[1]Hugst!$R$4:$W$4,0))))</f>
        <v>4563.968502194044</v>
      </c>
      <c r="K90">
        <f ca="1">IF($C90-K$1&lt;År1,0,J89*(1-VLOOKUP($A90,[1]Hugst!$R$5:$W$9,MATCH(ROUNDUP((K$1)/10,0)*10,[1]Hugst!$R$4:$W$4,0))))</f>
        <v>4560.8423208432305</v>
      </c>
      <c r="L90">
        <f ca="1">IF($C90-L$1&lt;År1,0,K89*(1-VLOOKUP($A90,[1]Hugst!$R$5:$W$9,MATCH(ROUNDUP((L$1)/10,0)*10,[1]Hugst!$R$4:$W$4,0))))</f>
        <v>4557.7250893862383</v>
      </c>
      <c r="M90">
        <f ca="1">IF($C90-M$1&lt;År1,0,L89*(1-VLOOKUP($A90,[1]Hugst!$R$5:$W$9,MATCH(ROUNDUP((M$1)/10,0)*10,[1]Hugst!$R$4:$W$4,0))))</f>
        <v>4556.6264485611628</v>
      </c>
      <c r="N90">
        <f ca="1">IF($C90-N$1&lt;År1,0,M89*(1-VLOOKUP($A90,[1]Hugst!$R$5:$W$9,MATCH(ROUNDUP((N$1)/10,0)*10,[1]Hugst!$R$4:$W$4,0))))</f>
        <v>4556.2277908750566</v>
      </c>
      <c r="O90">
        <f ca="1">IF($C90-O$1&lt;År1,0,N89*(1-VLOOKUP($A90,[1]Hugst!$R$5:$W$9,MATCH(ROUNDUP((O$1)/10,0)*10,[1]Hugst!$R$4:$W$4,0))))</f>
        <v>4555.8369814617399</v>
      </c>
      <c r="P90">
        <f ca="1">IF($C90-P$1&lt;År1,0,O89*(1-VLOOKUP($A90,[1]Hugst!$R$5:$W$9,MATCH(ROUNDUP((P$1)/10,0)*10,[1]Hugst!$R$4:$W$4,0))))</f>
        <v>4548.5050770693624</v>
      </c>
      <c r="Q90">
        <f ca="1">IF($C90-Q$1&lt;År1,0,P89*(1-VLOOKUP($A90,[1]Hugst!$R$5:$W$9,MATCH(ROUNDUP((Q$1)/10,0)*10,[1]Hugst!$R$4:$W$4,0))))</f>
        <v>4541.1928734314743</v>
      </c>
      <c r="R90">
        <f ca="1">IF($C90-R$1&lt;År1,0,Q89*(1-VLOOKUP($A90,[1]Hugst!$R$5:$W$9,MATCH(ROUNDUP((R$1)/10,0)*10,[1]Hugst!$R$4:$W$4,0))))</f>
        <v>4533.9003702358705</v>
      </c>
      <c r="S90">
        <f ca="1">IF($C90-S$1&lt;År1,0,R89*(1-VLOOKUP($A90,[1]Hugst!$R$5:$W$9,MATCH(ROUNDUP((S$1)/10,0)*10,[1]Hugst!$R$4:$W$4,0))))</f>
        <v>4526.6275672748779</v>
      </c>
      <c r="T90">
        <f ca="1">IF($C90-T$1&lt;År1,0,S89*(1-VLOOKUP($A90,[1]Hugst!$R$5:$W$9,MATCH(ROUNDUP((T$1)/10,0)*10,[1]Hugst!$R$4:$W$4,0))))</f>
        <v>4519.3744644452399</v>
      </c>
      <c r="U90">
        <f ca="1">IF($C90-U$1&lt;År1,0,T89*(1-VLOOKUP($A90,[1]Hugst!$R$5:$W$9,MATCH(ROUNDUP((U$1)/10,0)*10,[1]Hugst!$R$4:$W$4,0))))</f>
        <v>4512.1410617484098</v>
      </c>
      <c r="V90">
        <f ca="1">IF($C90-V$1&lt;År1,0,U89*(1-VLOOKUP($A90,[1]Hugst!$R$5:$W$9,MATCH(ROUNDUP((V$1)/10,0)*10,[1]Hugst!$R$4:$W$4,0))))</f>
        <v>3203.5328043599084</v>
      </c>
      <c r="W90">
        <f ca="1">IF($C90-W$1&lt;År1,0,V89*(1-VLOOKUP($A90,[1]Hugst!$R$5:$W$9,MATCH(ROUNDUP((W$1)/10,0)*10,[1]Hugst!$R$4:$W$4,0))))</f>
        <v>3198.323980487904</v>
      </c>
      <c r="X90">
        <f ca="1">IF($C90-X$1&lt;År1,0,W89*(1-VLOOKUP($A90,[1]Hugst!$R$5:$W$9,MATCH(ROUNDUP((X$1)/10,0)*10,[1]Hugst!$R$4:$W$4,0))))</f>
        <v>3198.0831085028203</v>
      </c>
      <c r="Y90">
        <f ca="1">IF($C90-Y$1&lt;År1,0,X89*(1-VLOOKUP($A90,[1]Hugst!$R$5:$W$9,MATCH(ROUNDUP((Y$1)/10,0)*10,[1]Hugst!$R$4:$W$4,0))))</f>
        <v>3197.8587997607465</v>
      </c>
      <c r="Z90">
        <f ca="1">IF($C90-Z$1&lt;År1,0,Y89*(1-VLOOKUP($A90,[1]Hugst!$R$5:$W$9,MATCH(ROUNDUP((Z$1)/10,0)*10,[1]Hugst!$R$4:$W$4,0))))</f>
        <v>3196.9725820965418</v>
      </c>
      <c r="AA90">
        <f ca="1">IF($C90-AA$1&lt;År1,0,Z89*(1-VLOOKUP($A90,[1]Hugst!$R$5:$W$9,MATCH(ROUNDUP((AA$1)/10,0)*10,[1]Hugst!$R$4:$W$4,0))))</f>
        <v>3196.1032154610111</v>
      </c>
      <c r="AB90">
        <f ca="1">IF($C90-AB$1&lt;År1,0,AA89*(1-VLOOKUP($A90,[1]Hugst!$R$5:$W$9,MATCH(ROUNDUP((AB$1)/10,0)*10,[1]Hugst!$R$4:$W$4,0))))</f>
        <v>3195.2507207868339</v>
      </c>
      <c r="AC90">
        <f ca="1">IF($C90-AC$1&lt;År1,0,AB89*(1-VLOOKUP($A90,[1]Hugst!$R$5:$W$9,MATCH(ROUNDUP((AC$1)/10,0)*10,[1]Hugst!$R$4:$W$4,0))))</f>
        <v>3194.4151191349438</v>
      </c>
      <c r="AD90">
        <f ca="1">IF($C90-AD$1&lt;År1,0,AC89*(1-VLOOKUP($A90,[1]Hugst!$R$5:$W$9,MATCH(ROUNDUP((AD$1)/10,0)*10,[1]Hugst!$R$4:$W$4,0))))</f>
        <v>3193.596431694883</v>
      </c>
      <c r="AE90">
        <f ca="1">IF($C90-AE$1&lt;År1,0,AD89*(1-VLOOKUP($A90,[1]Hugst!$R$5:$W$9,MATCH(ROUNDUP((AE$1)/10,0)*10,[1]Hugst!$R$4:$W$4,0))))</f>
        <v>3192.7946797850555</v>
      </c>
      <c r="AF90">
        <f ca="1">IF($C90-AF$1&lt;År1,0,AE89*(1-VLOOKUP($A90,[1]Hugst!$R$5:$W$9,MATCH(ROUNDUP((AF$1)/10,0)*10,[1]Hugst!$R$4:$W$4,0))))</f>
        <v>3192.0098848532093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107.46058123648982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4579.7312484235681</v>
      </c>
      <c r="G91">
        <f ca="1">IF($C91-G$1&lt;År1,0,F90*(1-VLOOKUP($A91,[1]Hugst!$R$5:$W$9,MATCH(ROUNDUP((G$1)/10,0)*10,[1]Hugst!$R$4:$W$4,0))))</f>
        <v>4576.5613481947858</v>
      </c>
      <c r="H91">
        <f ca="1">IF($C91-H$1&lt;År1,0,G90*(1-VLOOKUP($A91,[1]Hugst!$R$5:$W$9,MATCH(ROUNDUP((H$1)/10,0)*10,[1]Hugst!$R$4:$W$4,0))))</f>
        <v>4573.4000555331568</v>
      </c>
      <c r="I91">
        <f ca="1">IF($C91-I$1&lt;År1,0,H90*(1-VLOOKUP($A91,[1]Hugst!$R$5:$W$9,MATCH(ROUNDUP((I$1)/10,0)*10,[1]Hugst!$R$4:$W$4,0))))</f>
        <v>4570.2474381835691</v>
      </c>
      <c r="J91">
        <f ca="1">IF($C91-J$1&lt;År1,0,I90*(1-VLOOKUP($A91,[1]Hugst!$R$5:$W$9,MATCH(ROUNDUP((J$1)/10,0)*10,[1]Hugst!$R$4:$W$4,0))))</f>
        <v>4567.1035642492952</v>
      </c>
      <c r="K91">
        <f ca="1">IF($C91-K$1&lt;År1,0,J90*(1-VLOOKUP($A91,[1]Hugst!$R$5:$W$9,MATCH(ROUNDUP((K$1)/10,0)*10,[1]Hugst!$R$4:$W$4,0))))</f>
        <v>4563.968502194044</v>
      </c>
      <c r="L91">
        <f ca="1">IF($C91-L$1&lt;År1,0,K90*(1-VLOOKUP($A91,[1]Hugst!$R$5:$W$9,MATCH(ROUNDUP((L$1)/10,0)*10,[1]Hugst!$R$4:$W$4,0))))</f>
        <v>4560.8423208432305</v>
      </c>
      <c r="M91">
        <f ca="1">IF($C91-M$1&lt;År1,0,L90*(1-VLOOKUP($A91,[1]Hugst!$R$5:$W$9,MATCH(ROUNDUP((M$1)/10,0)*10,[1]Hugst!$R$4:$W$4,0))))</f>
        <v>4557.7250893862383</v>
      </c>
      <c r="N91">
        <f ca="1">IF($C91-N$1&lt;År1,0,M90*(1-VLOOKUP($A91,[1]Hugst!$R$5:$W$9,MATCH(ROUNDUP((N$1)/10,0)*10,[1]Hugst!$R$4:$W$4,0))))</f>
        <v>4556.6264485611628</v>
      </c>
      <c r="O91">
        <f ca="1">IF($C91-O$1&lt;År1,0,N90*(1-VLOOKUP($A91,[1]Hugst!$R$5:$W$9,MATCH(ROUNDUP((O$1)/10,0)*10,[1]Hugst!$R$4:$W$4,0))))</f>
        <v>4556.2277908750566</v>
      </c>
      <c r="P91">
        <f ca="1">IF($C91-P$1&lt;År1,0,O90*(1-VLOOKUP($A91,[1]Hugst!$R$5:$W$9,MATCH(ROUNDUP((P$1)/10,0)*10,[1]Hugst!$R$4:$W$4,0))))</f>
        <v>4548.8873996256116</v>
      </c>
      <c r="Q91">
        <f ca="1">IF($C91-Q$1&lt;År1,0,P90*(1-VLOOKUP($A91,[1]Hugst!$R$5:$W$9,MATCH(ROUNDUP((Q$1)/10,0)*10,[1]Hugst!$R$4:$W$4,0))))</f>
        <v>4541.5666794941717</v>
      </c>
      <c r="R91">
        <f ca="1">IF($C91-R$1&lt;År1,0,Q90*(1-VLOOKUP($A91,[1]Hugst!$R$5:$W$9,MATCH(ROUNDUP((R$1)/10,0)*10,[1]Hugst!$R$4:$W$4,0))))</f>
        <v>4534.2656300652225</v>
      </c>
      <c r="S91">
        <f ca="1">IF($C91-S$1&lt;År1,0,R90*(1-VLOOKUP($A91,[1]Hugst!$R$5:$W$9,MATCH(ROUNDUP((S$1)/10,0)*10,[1]Hugst!$R$4:$W$4,0))))</f>
        <v>4526.9842510270355</v>
      </c>
      <c r="T91">
        <f ca="1">IF($C91-T$1&lt;År1,0,S90*(1-VLOOKUP($A91,[1]Hugst!$R$5:$W$9,MATCH(ROUNDUP((T$1)/10,0)*10,[1]Hugst!$R$4:$W$4,0))))</f>
        <v>4519.7225421722551</v>
      </c>
      <c r="U91">
        <f ca="1">IF($C91-U$1&lt;År1,0,T90*(1-VLOOKUP($A91,[1]Hugst!$R$5:$W$9,MATCH(ROUNDUP((U$1)/10,0)*10,[1]Hugst!$R$4:$W$4,0))))</f>
        <v>4512.4805033977809</v>
      </c>
      <c r="V91">
        <f ca="1">IF($C91-V$1&lt;År1,0,U90*(1-VLOOKUP($A91,[1]Hugst!$R$5:$W$9,MATCH(ROUNDUP((V$1)/10,0)*10,[1]Hugst!$R$4:$W$4,0))))</f>
        <v>4505.2581347050645</v>
      </c>
      <c r="W91">
        <f ca="1">IF($C91-W$1&lt;År1,0,V90*(1-VLOOKUP($A91,[1]Hugst!$R$5:$W$9,MATCH(ROUNDUP((W$1)/10,0)*10,[1]Hugst!$R$4:$W$4,0))))</f>
        <v>3198.646059404105</v>
      </c>
      <c r="X91">
        <f ca="1">IF($C91-X$1&lt;År1,0,W90*(1-VLOOKUP($A91,[1]Hugst!$R$5:$W$9,MATCH(ROUNDUP((X$1)/10,0)*10,[1]Hugst!$R$4:$W$4,0))))</f>
        <v>3193.4451811956342</v>
      </c>
      <c r="Y91">
        <f ca="1">IF($C91-Y$1&lt;År1,0,X90*(1-VLOOKUP($A91,[1]Hugst!$R$5:$W$9,MATCH(ROUNDUP((Y$1)/10,0)*10,[1]Hugst!$R$4:$W$4,0))))</f>
        <v>3193.2046766423923</v>
      </c>
      <c r="Z91">
        <f ca="1">IF($C91-Z$1&lt;År1,0,Y90*(1-VLOOKUP($A91,[1]Hugst!$R$5:$W$9,MATCH(ROUNDUP((Z$1)/10,0)*10,[1]Hugst!$R$4:$W$4,0))))</f>
        <v>3192.3031976086195</v>
      </c>
      <c r="AA91">
        <f ca="1">IF($C91-AA$1&lt;År1,0,Z90*(1-VLOOKUP($A91,[1]Hugst!$R$5:$W$9,MATCH(ROUNDUP((AA$1)/10,0)*10,[1]Hugst!$R$4:$W$4,0))))</f>
        <v>3191.4185195598484</v>
      </c>
      <c r="AB91">
        <f ca="1">IF($C91-AB$1&lt;År1,0,AA90*(1-VLOOKUP($A91,[1]Hugst!$R$5:$W$9,MATCH(ROUNDUP((AB$1)/10,0)*10,[1]Hugst!$R$4:$W$4,0))))</f>
        <v>3190.5506632646593</v>
      </c>
      <c r="AC91">
        <f ca="1">IF($C91-AC$1&lt;År1,0,AB90*(1-VLOOKUP($A91,[1]Hugst!$R$5:$W$9,MATCH(ROUNDUP((AC$1)/10,0)*10,[1]Hugst!$R$4:$W$4,0))))</f>
        <v>3189.6996496193651</v>
      </c>
      <c r="AD91">
        <f ca="1">IF($C91-AD$1&lt;År1,0,AC90*(1-VLOOKUP($A91,[1]Hugst!$R$5:$W$9,MATCH(ROUNDUP((AD$1)/10,0)*10,[1]Hugst!$R$4:$W$4,0))))</f>
        <v>3188.865499648311</v>
      </c>
      <c r="AE91">
        <f ca="1">IF($C91-AE$1&lt;År1,0,AD90*(1-VLOOKUP($A91,[1]Hugst!$R$5:$W$9,MATCH(ROUNDUP((AE$1)/10,0)*10,[1]Hugst!$R$4:$W$4,0))))</f>
        <v>3188.0482345042265</v>
      </c>
      <c r="AF91">
        <f ca="1">IF($C91-AF$1&lt;År1,0,AE90*(1-VLOOKUP($A91,[1]Hugst!$R$5:$W$9,MATCH(ROUNDUP((AF$1)/10,0)*10,[1]Hugst!$R$4:$W$4,0))))</f>
        <v>3187.2478754684794</v>
      </c>
      <c r="AG91">
        <f ca="1">IF($C91-AG$1&lt;År1,0,AF90*(1-VLOOKUP($A91,[1]Hugst!$R$5:$W$9,MATCH(ROUNDUP((AG$1)/10,0)*10,[1]Hugst!$R$4:$W$4,0))))</f>
        <v>3186.4644439515573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114.91395522718085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4582.9096888314361</v>
      </c>
      <c r="G92">
        <f ca="1">IF($C92-G$1&lt;År1,0,F91*(1-VLOOKUP($A92,[1]Hugst!$R$5:$W$9,MATCH(ROUNDUP((G$1)/10,0)*10,[1]Hugst!$R$4:$W$4,0))))</f>
        <v>4579.7312484235681</v>
      </c>
      <c r="H92">
        <f ca="1">IF($C92-H$1&lt;År1,0,G91*(1-VLOOKUP($A92,[1]Hugst!$R$5:$W$9,MATCH(ROUNDUP((H$1)/10,0)*10,[1]Hugst!$R$4:$W$4,0))))</f>
        <v>4576.5613481947858</v>
      </c>
      <c r="I92">
        <f ca="1">IF($C92-I$1&lt;År1,0,H91*(1-VLOOKUP($A92,[1]Hugst!$R$5:$W$9,MATCH(ROUNDUP((I$1)/10,0)*10,[1]Hugst!$R$4:$W$4,0))))</f>
        <v>4573.4000555331568</v>
      </c>
      <c r="J92">
        <f ca="1">IF($C92-J$1&lt;År1,0,I91*(1-VLOOKUP($A92,[1]Hugst!$R$5:$W$9,MATCH(ROUNDUP((J$1)/10,0)*10,[1]Hugst!$R$4:$W$4,0))))</f>
        <v>4570.2474381835691</v>
      </c>
      <c r="K92">
        <f ca="1">IF($C92-K$1&lt;År1,0,J91*(1-VLOOKUP($A92,[1]Hugst!$R$5:$W$9,MATCH(ROUNDUP((K$1)/10,0)*10,[1]Hugst!$R$4:$W$4,0))))</f>
        <v>4567.1035642492952</v>
      </c>
      <c r="L92">
        <f ca="1">IF($C92-L$1&lt;År1,0,K91*(1-VLOOKUP($A92,[1]Hugst!$R$5:$W$9,MATCH(ROUNDUP((L$1)/10,0)*10,[1]Hugst!$R$4:$W$4,0))))</f>
        <v>4563.968502194044</v>
      </c>
      <c r="M92">
        <f ca="1">IF($C92-M$1&lt;År1,0,L91*(1-VLOOKUP($A92,[1]Hugst!$R$5:$W$9,MATCH(ROUNDUP((M$1)/10,0)*10,[1]Hugst!$R$4:$W$4,0))))</f>
        <v>4560.8423208432305</v>
      </c>
      <c r="N92">
        <f ca="1">IF($C92-N$1&lt;År1,0,M91*(1-VLOOKUP($A92,[1]Hugst!$R$5:$W$9,MATCH(ROUNDUP((N$1)/10,0)*10,[1]Hugst!$R$4:$W$4,0))))</f>
        <v>4557.7250893862383</v>
      </c>
      <c r="O92">
        <f ca="1">IF($C92-O$1&lt;År1,0,N91*(1-VLOOKUP($A92,[1]Hugst!$R$5:$W$9,MATCH(ROUNDUP((O$1)/10,0)*10,[1]Hugst!$R$4:$W$4,0))))</f>
        <v>4556.6264485611628</v>
      </c>
      <c r="P92">
        <f ca="1">IF($C92-P$1&lt;År1,0,O91*(1-VLOOKUP($A92,[1]Hugst!$R$5:$W$9,MATCH(ROUNDUP((P$1)/10,0)*10,[1]Hugst!$R$4:$W$4,0))))</f>
        <v>4549.2776128889755</v>
      </c>
      <c r="Q92">
        <f ca="1">IF($C92-Q$1&lt;År1,0,P91*(1-VLOOKUP($A92,[1]Hugst!$R$5:$W$9,MATCH(ROUNDUP((Q$1)/10,0)*10,[1]Hugst!$R$4:$W$4,0))))</f>
        <v>4541.9484188465212</v>
      </c>
      <c r="R92">
        <f ca="1">IF($C92-R$1&lt;År1,0,Q91*(1-VLOOKUP($A92,[1]Hugst!$R$5:$W$9,MATCH(ROUNDUP((R$1)/10,0)*10,[1]Hugst!$R$4:$W$4,0))))</f>
        <v>4534.6388659152817</v>
      </c>
      <c r="S92">
        <f ca="1">IF($C92-S$1&lt;År1,0,R91*(1-VLOOKUP($A92,[1]Hugst!$R$5:$W$9,MATCH(ROUNDUP((S$1)/10,0)*10,[1]Hugst!$R$4:$W$4,0))))</f>
        <v>4527.3489536803772</v>
      </c>
      <c r="T92">
        <f ca="1">IF($C92-T$1&lt;År1,0,S91*(1-VLOOKUP($A92,[1]Hugst!$R$5:$W$9,MATCH(ROUNDUP((T$1)/10,0)*10,[1]Hugst!$R$4:$W$4,0))))</f>
        <v>4520.0786818305533</v>
      </c>
      <c r="U92">
        <f ca="1">IF($C92-U$1&lt;År1,0,T91*(1-VLOOKUP($A92,[1]Hugst!$R$5:$W$9,MATCH(ROUNDUP((U$1)/10,0)*10,[1]Hugst!$R$4:$W$4,0))))</f>
        <v>4512.8280501587715</v>
      </c>
      <c r="V92">
        <f ca="1">IF($C92-V$1&lt;År1,0,U91*(1-VLOOKUP($A92,[1]Hugst!$R$5:$W$9,MATCH(ROUNDUP((V$1)/10,0)*10,[1]Hugst!$R$4:$W$4,0))))</f>
        <v>4505.5970585620889</v>
      </c>
      <c r="W92">
        <f ca="1">IF($C92-W$1&lt;År1,0,V91*(1-VLOOKUP($A92,[1]Hugst!$R$5:$W$9,MATCH(ROUNDUP((W$1)/10,0)*10,[1]Hugst!$R$4:$W$4,0))))</f>
        <v>4498.3857070419554</v>
      </c>
      <c r="X92">
        <f ca="1">IF($C92-X$1&lt;År1,0,W91*(1-VLOOKUP($A92,[1]Hugst!$R$5:$W$9,MATCH(ROUNDUP((X$1)/10,0)*10,[1]Hugst!$R$4:$W$4,0))))</f>
        <v>3193.7667688050137</v>
      </c>
      <c r="Y92">
        <f ca="1">IF($C92-Y$1&lt;År1,0,X91*(1-VLOOKUP($A92,[1]Hugst!$R$5:$W$9,MATCH(ROUNDUP((Y$1)/10,0)*10,[1]Hugst!$R$4:$W$4,0))))</f>
        <v>3188.5738241395729</v>
      </c>
      <c r="Z92">
        <f ca="1">IF($C92-Z$1&lt;År1,0,Y91*(1-VLOOKUP($A92,[1]Hugst!$R$5:$W$9,MATCH(ROUNDUP((Z$1)/10,0)*10,[1]Hugst!$R$4:$W$4,0))))</f>
        <v>3187.6571600431407</v>
      </c>
      <c r="AA92">
        <f ca="1">IF($C92-AA$1&lt;År1,0,Z91*(1-VLOOKUP($A92,[1]Hugst!$R$5:$W$9,MATCH(ROUNDUP((AA$1)/10,0)*10,[1]Hugst!$R$4:$W$4,0))))</f>
        <v>3186.7572471381977</v>
      </c>
      <c r="AB92">
        <f ca="1">IF($C92-AB$1&lt;År1,0,AA91*(1-VLOOKUP($A92,[1]Hugst!$R$5:$W$9,MATCH(ROUNDUP((AB$1)/10,0)*10,[1]Hugst!$R$4:$W$4,0))))</f>
        <v>3185.8741060301045</v>
      </c>
      <c r="AC92">
        <f ca="1">IF($C92-AC$1&lt;År1,0,AB91*(1-VLOOKUP($A92,[1]Hugst!$R$5:$W$9,MATCH(ROUNDUP((AC$1)/10,0)*10,[1]Hugst!$R$4:$W$4,0))))</f>
        <v>3185.0077574513602</v>
      </c>
      <c r="AD92">
        <f ca="1">IF($C92-AD$1&lt;År1,0,AC91*(1-VLOOKUP($A92,[1]Hugst!$R$5:$W$9,MATCH(ROUNDUP((AD$1)/10,0)*10,[1]Hugst!$R$4:$W$4,0))))</f>
        <v>3184.1582222619754</v>
      </c>
      <c r="AE92">
        <f ca="1">IF($C92-AE$1&lt;År1,0,AD91*(1-VLOOKUP($A92,[1]Hugst!$R$5:$W$9,MATCH(ROUNDUP((AE$1)/10,0)*10,[1]Hugst!$R$4:$W$4,0))))</f>
        <v>3183.3255214497694</v>
      </c>
      <c r="AF92">
        <f ca="1">IF($C92-AF$1&lt;År1,0,AE91*(1-VLOOKUP($A92,[1]Hugst!$R$5:$W$9,MATCH(ROUNDUP((AF$1)/10,0)*10,[1]Hugst!$R$4:$W$4,0))))</f>
        <v>3182.5096761307232</v>
      </c>
      <c r="AG92">
        <f ca="1">IF($C92-AG$1&lt;År1,0,AF91*(1-VLOOKUP($A92,[1]Hugst!$R$5:$W$9,MATCH(ROUNDUP((AG$1)/10,0)*10,[1]Hugst!$R$4:$W$4,0))))</f>
        <v>3181.7107075492331</v>
      </c>
      <c r="AH92">
        <f ca="1">IF($C92-AH$1&lt;År1,0,AG91*(1-VLOOKUP($A92,[1]Hugst!$R$5:$W$9,MATCH(ROUNDUP((AH$1)/10,0)*10,[1]Hugst!$R$4:$W$4,0))))</f>
        <v>3180.9286370785903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122.35442769560905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4586.0966023849342</v>
      </c>
      <c r="G93">
        <f ca="1">IF($C93-G$1&lt;År1,0,F92*(1-VLOOKUP($A93,[1]Hugst!$R$5:$W$9,MATCH(ROUNDUP((G$1)/10,0)*10,[1]Hugst!$R$4:$W$4,0))))</f>
        <v>4582.9096888314361</v>
      </c>
      <c r="H93">
        <f ca="1">IF($C93-H$1&lt;År1,0,G92*(1-VLOOKUP($A93,[1]Hugst!$R$5:$W$9,MATCH(ROUNDUP((H$1)/10,0)*10,[1]Hugst!$R$4:$W$4,0))))</f>
        <v>4579.7312484235681</v>
      </c>
      <c r="I93">
        <f ca="1">IF($C93-I$1&lt;År1,0,H92*(1-VLOOKUP($A93,[1]Hugst!$R$5:$W$9,MATCH(ROUNDUP((I$1)/10,0)*10,[1]Hugst!$R$4:$W$4,0))))</f>
        <v>4576.5613481947858</v>
      </c>
      <c r="J93">
        <f ca="1">IF($C93-J$1&lt;År1,0,I92*(1-VLOOKUP($A93,[1]Hugst!$R$5:$W$9,MATCH(ROUNDUP((J$1)/10,0)*10,[1]Hugst!$R$4:$W$4,0))))</f>
        <v>4573.4000555331568</v>
      </c>
      <c r="K93">
        <f ca="1">IF($C93-K$1&lt;År1,0,J92*(1-VLOOKUP($A93,[1]Hugst!$R$5:$W$9,MATCH(ROUNDUP((K$1)/10,0)*10,[1]Hugst!$R$4:$W$4,0))))</f>
        <v>4570.2474381835691</v>
      </c>
      <c r="L93">
        <f ca="1">IF($C93-L$1&lt;År1,0,K92*(1-VLOOKUP($A93,[1]Hugst!$R$5:$W$9,MATCH(ROUNDUP((L$1)/10,0)*10,[1]Hugst!$R$4:$W$4,0))))</f>
        <v>4567.1035642492952</v>
      </c>
      <c r="M93">
        <f ca="1">IF($C93-M$1&lt;År1,0,L92*(1-VLOOKUP($A93,[1]Hugst!$R$5:$W$9,MATCH(ROUNDUP((M$1)/10,0)*10,[1]Hugst!$R$4:$W$4,0))))</f>
        <v>4563.968502194044</v>
      </c>
      <c r="N93">
        <f ca="1">IF($C93-N$1&lt;År1,0,M92*(1-VLOOKUP($A93,[1]Hugst!$R$5:$W$9,MATCH(ROUNDUP((N$1)/10,0)*10,[1]Hugst!$R$4:$W$4,0))))</f>
        <v>4560.8423208432305</v>
      </c>
      <c r="O93">
        <f ca="1">IF($C93-O$1&lt;År1,0,N92*(1-VLOOKUP($A93,[1]Hugst!$R$5:$W$9,MATCH(ROUNDUP((O$1)/10,0)*10,[1]Hugst!$R$4:$W$4,0))))</f>
        <v>4557.7250893862383</v>
      </c>
      <c r="P93">
        <f ca="1">IF($C93-P$1&lt;År1,0,O92*(1-VLOOKUP($A93,[1]Hugst!$R$5:$W$9,MATCH(ROUNDUP((P$1)/10,0)*10,[1]Hugst!$R$4:$W$4,0))))</f>
        <v>4549.6756624531881</v>
      </c>
      <c r="Q93">
        <f ca="1">IF($C93-Q$1&lt;År1,0,P92*(1-VLOOKUP($A93,[1]Hugst!$R$5:$W$9,MATCH(ROUNDUP((Q$1)/10,0)*10,[1]Hugst!$R$4:$W$4,0))))</f>
        <v>4542.3380368693142</v>
      </c>
      <c r="R93">
        <f ca="1">IF($C93-R$1&lt;År1,0,Q92*(1-VLOOKUP($A93,[1]Hugst!$R$5:$W$9,MATCH(ROUNDUP((R$1)/10,0)*10,[1]Hugst!$R$4:$W$4,0))))</f>
        <v>4535.0200229533657</v>
      </c>
      <c r="S93">
        <f ca="1">IF($C93-S$1&lt;År1,0,R92*(1-VLOOKUP($A93,[1]Hugst!$R$5:$W$9,MATCH(ROUNDUP((S$1)/10,0)*10,[1]Hugst!$R$4:$W$4,0))))</f>
        <v>4527.7216201876145</v>
      </c>
      <c r="T93">
        <f ca="1">IF($C93-T$1&lt;År1,0,S92*(1-VLOOKUP($A93,[1]Hugst!$R$5:$W$9,MATCH(ROUNDUP((T$1)/10,0)*10,[1]Hugst!$R$4:$W$4,0))))</f>
        <v>4520.4428281578139</v>
      </c>
      <c r="U93">
        <f ca="1">IF($C93-U$1&lt;År1,0,T92*(1-VLOOKUP($A93,[1]Hugst!$R$5:$W$9,MATCH(ROUNDUP((U$1)/10,0)*10,[1]Hugst!$R$4:$W$4,0))))</f>
        <v>4513.1836465531842</v>
      </c>
      <c r="V93">
        <f ca="1">IF($C93-V$1&lt;År1,0,U92*(1-VLOOKUP($A93,[1]Hugst!$R$5:$W$9,MATCH(ROUNDUP((V$1)/10,0)*10,[1]Hugst!$R$4:$W$4,0))))</f>
        <v>4505.9440751670036</v>
      </c>
      <c r="W93">
        <f ca="1">IF($C93-W$1&lt;År1,0,V92*(1-VLOOKUP($A93,[1]Hugst!$R$5:$W$9,MATCH(ROUNDUP((W$1)/10,0)*10,[1]Hugst!$R$4:$W$4,0))))</f>
        <v>4498.7241138964855</v>
      </c>
      <c r="X93">
        <f ca="1">IF($C93-X$1&lt;År1,0,W92*(1-VLOOKUP($A93,[1]Hugst!$R$5:$W$9,MATCH(ROUNDUP((X$1)/10,0)*10,[1]Hugst!$R$4:$W$4,0))))</f>
        <v>4491.5237627430779</v>
      </c>
      <c r="Y93">
        <f ca="1">IF($C93-Y$1&lt;År1,0,X92*(1-VLOOKUP($A93,[1]Hugst!$R$5:$W$9,MATCH(ROUNDUP((Y$1)/10,0)*10,[1]Hugst!$R$4:$W$4,0))))</f>
        <v>3188.8949211915824</v>
      </c>
      <c r="Z93">
        <f ca="1">IF($C93-Z$1&lt;År1,0,Y92*(1-VLOOKUP($A93,[1]Hugst!$R$5:$W$9,MATCH(ROUNDUP((Z$1)/10,0)*10,[1]Hugst!$R$4:$W$4,0))))</f>
        <v>3183.0343526654319</v>
      </c>
      <c r="AA93">
        <f ca="1">IF($C93-AA$1&lt;År1,0,Z92*(1-VLOOKUP($A93,[1]Hugst!$R$5:$W$9,MATCH(ROUNDUP((AA$1)/10,0)*10,[1]Hugst!$R$4:$W$4,0))))</f>
        <v>3182.1192810786588</v>
      </c>
      <c r="AB93">
        <f ca="1">IF($C93-AB$1&lt;År1,0,AA92*(1-VLOOKUP($A93,[1]Hugst!$R$5:$W$9,MATCH(ROUNDUP((AB$1)/10,0)*10,[1]Hugst!$R$4:$W$4,0))))</f>
        <v>3181.2209315817286</v>
      </c>
      <c r="AC93">
        <f ca="1">IF($C93-AC$1&lt;År1,0,AB92*(1-VLOOKUP($A93,[1]Hugst!$R$5:$W$9,MATCH(ROUNDUP((AC$1)/10,0)*10,[1]Hugst!$R$4:$W$4,0))))</f>
        <v>3180.3393247442045</v>
      </c>
      <c r="AD93">
        <f ca="1">IF($C93-AD$1&lt;År1,0,AC92*(1-VLOOKUP($A93,[1]Hugst!$R$5:$W$9,MATCH(ROUNDUP((AD$1)/10,0)*10,[1]Hugst!$R$4:$W$4,0))))</f>
        <v>3179.4744812625677</v>
      </c>
      <c r="AE93">
        <f ca="1">IF($C93-AE$1&lt;År1,0,AD92*(1-VLOOKUP($A93,[1]Hugst!$R$5:$W$9,MATCH(ROUNDUP((AE$1)/10,0)*10,[1]Hugst!$R$4:$W$4,0))))</f>
        <v>3178.6264219605878</v>
      </c>
      <c r="AF93">
        <f ca="1">IF($C93-AF$1&lt;År1,0,AE92*(1-VLOOKUP($A93,[1]Hugst!$R$5:$W$9,MATCH(ROUNDUP((AF$1)/10,0)*10,[1]Hugst!$R$4:$W$4,0))))</f>
        <v>3177.7951677896235</v>
      </c>
      <c r="AG93">
        <f ca="1">IF($C93-AG$1&lt;År1,0,AF92*(1-VLOOKUP($A93,[1]Hugst!$R$5:$W$9,MATCH(ROUNDUP((AG$1)/10,0)*10,[1]Hugst!$R$4:$W$4,0))))</f>
        <v>3176.9807398289704</v>
      </c>
      <c r="AH93">
        <f ca="1">IF($C93-AH$1&lt;År1,0,AG92*(1-VLOOKUP($A93,[1]Hugst!$R$5:$W$9,MATCH(ROUNDUP((AH$1)/10,0)*10,[1]Hugst!$R$4:$W$4,0))))</f>
        <v>3176.1831592861176</v>
      </c>
      <c r="AI93">
        <f ca="1">IF($C93-AI$1&lt;År1,0,AH92*(1-VLOOKUP($A93,[1]Hugst!$R$5:$W$9,MATCH(ROUNDUP((AI$1)/10,0)*10,[1]Hugst!$R$4:$W$4,0))))</f>
        <v>3175.4024474972248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127.09311992947187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4586.6030034984487</v>
      </c>
      <c r="G94">
        <f ca="1">IF($C94-G$1&lt;År1,0,F93*(1-VLOOKUP($A94,[1]Hugst!$R$5:$W$9,MATCH(ROUNDUP((G$1)/10,0)*10,[1]Hugst!$R$4:$W$4,0))))</f>
        <v>4586.0966023849342</v>
      </c>
      <c r="H94">
        <f ca="1">IF($C94-H$1&lt;År1,0,G93*(1-VLOOKUP($A94,[1]Hugst!$R$5:$W$9,MATCH(ROUNDUP((H$1)/10,0)*10,[1]Hugst!$R$4:$W$4,0))))</f>
        <v>4582.9096888314361</v>
      </c>
      <c r="I94">
        <f ca="1">IF($C94-I$1&lt;År1,0,H93*(1-VLOOKUP($A94,[1]Hugst!$R$5:$W$9,MATCH(ROUNDUP((I$1)/10,0)*10,[1]Hugst!$R$4:$W$4,0))))</f>
        <v>4579.7312484235681</v>
      </c>
      <c r="J94">
        <f ca="1">IF($C94-J$1&lt;År1,0,I93*(1-VLOOKUP($A94,[1]Hugst!$R$5:$W$9,MATCH(ROUNDUP((J$1)/10,0)*10,[1]Hugst!$R$4:$W$4,0))))</f>
        <v>4576.5613481947858</v>
      </c>
      <c r="K94">
        <f ca="1">IF($C94-K$1&lt;År1,0,J93*(1-VLOOKUP($A94,[1]Hugst!$R$5:$W$9,MATCH(ROUNDUP((K$1)/10,0)*10,[1]Hugst!$R$4:$W$4,0))))</f>
        <v>4573.4000555331568</v>
      </c>
      <c r="L94">
        <f ca="1">IF($C94-L$1&lt;År1,0,K93*(1-VLOOKUP($A94,[1]Hugst!$R$5:$W$9,MATCH(ROUNDUP((L$1)/10,0)*10,[1]Hugst!$R$4:$W$4,0))))</f>
        <v>4570.2474381835691</v>
      </c>
      <c r="M94">
        <f ca="1">IF($C94-M$1&lt;År1,0,L93*(1-VLOOKUP($A94,[1]Hugst!$R$5:$W$9,MATCH(ROUNDUP((M$1)/10,0)*10,[1]Hugst!$R$4:$W$4,0))))</f>
        <v>4567.1035642492952</v>
      </c>
      <c r="N94">
        <f ca="1">IF($C94-N$1&lt;År1,0,M93*(1-VLOOKUP($A94,[1]Hugst!$R$5:$W$9,MATCH(ROUNDUP((N$1)/10,0)*10,[1]Hugst!$R$4:$W$4,0))))</f>
        <v>4563.968502194044</v>
      </c>
      <c r="O94">
        <f ca="1">IF($C94-O$1&lt;År1,0,N93*(1-VLOOKUP($A94,[1]Hugst!$R$5:$W$9,MATCH(ROUNDUP((O$1)/10,0)*10,[1]Hugst!$R$4:$W$4,0))))</f>
        <v>4560.8423208432305</v>
      </c>
      <c r="P94">
        <f ca="1">IF($C94-P$1&lt;År1,0,O93*(1-VLOOKUP($A94,[1]Hugst!$R$5:$W$9,MATCH(ROUNDUP((P$1)/10,0)*10,[1]Hugst!$R$4:$W$4,0))))</f>
        <v>4550.7726273854796</v>
      </c>
      <c r="Q94">
        <f ca="1">IF($C94-Q$1&lt;År1,0,P93*(1-VLOOKUP($A94,[1]Hugst!$R$5:$W$9,MATCH(ROUNDUP((Q$1)/10,0)*10,[1]Hugst!$R$4:$W$4,0))))</f>
        <v>4542.7354792392762</v>
      </c>
      <c r="R94">
        <f ca="1">IF($C94-R$1&lt;År1,0,Q93*(1-VLOOKUP($A94,[1]Hugst!$R$5:$W$9,MATCH(ROUNDUP((R$1)/10,0)*10,[1]Hugst!$R$4:$W$4,0))))</f>
        <v>4535.409046643581</v>
      </c>
      <c r="S94">
        <f ca="1">IF($C94-S$1&lt;År1,0,R93*(1-VLOOKUP($A94,[1]Hugst!$R$5:$W$9,MATCH(ROUNDUP((S$1)/10,0)*10,[1]Hugst!$R$4:$W$4,0))))</f>
        <v>4528.1021957997082</v>
      </c>
      <c r="T94">
        <f ca="1">IF($C94-T$1&lt;År1,0,S93*(1-VLOOKUP($A94,[1]Hugst!$R$5:$W$9,MATCH(ROUNDUP((T$1)/10,0)*10,[1]Hugst!$R$4:$W$4,0))))</f>
        <v>4520.8149261907183</v>
      </c>
      <c r="U94">
        <f ca="1">IF($C94-U$1&lt;År1,0,T93*(1-VLOOKUP($A94,[1]Hugst!$R$5:$W$9,MATCH(ROUNDUP((U$1)/10,0)*10,[1]Hugst!$R$4:$W$4,0))))</f>
        <v>4513.5472374029969</v>
      </c>
      <c r="V94">
        <f ca="1">IF($C94-V$1&lt;År1,0,U93*(1-VLOOKUP($A94,[1]Hugst!$R$5:$W$9,MATCH(ROUNDUP((V$1)/10,0)*10,[1]Hugst!$R$4:$W$4,0))))</f>
        <v>4506.2991291262388</v>
      </c>
      <c r="W94">
        <f ca="1">IF($C94-W$1&lt;År1,0,V93*(1-VLOOKUP($A94,[1]Hugst!$R$5:$W$9,MATCH(ROUNDUP((W$1)/10,0)*10,[1]Hugst!$R$4:$W$4,0))))</f>
        <v>4499.0706011540369</v>
      </c>
      <c r="X94">
        <f ca="1">IF($C94-X$1&lt;År1,0,W93*(1-VLOOKUP($A94,[1]Hugst!$R$5:$W$9,MATCH(ROUNDUP((X$1)/10,0)*10,[1]Hugst!$R$4:$W$4,0))))</f>
        <v>4491.8616533837621</v>
      </c>
      <c r="Y94">
        <f ca="1">IF($C94-Y$1&lt;År1,0,X93*(1-VLOOKUP($A94,[1]Hugst!$R$5:$W$9,MATCH(ROUNDUP((Y$1)/10,0)*10,[1]Hugst!$R$4:$W$4,0))))</f>
        <v>4484.6722858168596</v>
      </c>
      <c r="Z94">
        <f ca="1">IF($C94-Z$1&lt;År1,0,Y93*(1-VLOOKUP($A94,[1]Hugst!$R$5:$W$9,MATCH(ROUNDUP((Z$1)/10,0)*10,[1]Hugst!$R$4:$W$4,0))))</f>
        <v>3183.3548918793426</v>
      </c>
      <c r="AA94">
        <f ca="1">IF($C94-AA$1&lt;År1,0,Z93*(1-VLOOKUP($A94,[1]Hugst!$R$5:$W$9,MATCH(ROUNDUP((AA$1)/10,0)*10,[1]Hugst!$R$4:$W$4,0))))</f>
        <v>3177.5045048493603</v>
      </c>
      <c r="AB94">
        <f ca="1">IF($C94-AB$1&lt;År1,0,AA93*(1-VLOOKUP($A94,[1]Hugst!$R$5:$W$9,MATCH(ROUNDUP((AB$1)/10,0)*10,[1]Hugst!$R$4:$W$4,0))))</f>
        <v>3176.5910230055983</v>
      </c>
      <c r="AC94">
        <f ca="1">IF($C94-AC$1&lt;År1,0,AB93*(1-VLOOKUP($A94,[1]Hugst!$R$5:$W$9,MATCH(ROUNDUP((AC$1)/10,0)*10,[1]Hugst!$R$4:$W$4,0))))</f>
        <v>3175.6942342005905</v>
      </c>
      <c r="AD94">
        <f ca="1">IF($C94-AD$1&lt;År1,0,AC93*(1-VLOOKUP($A94,[1]Hugst!$R$5:$W$9,MATCH(ROUNDUP((AD$1)/10,0)*10,[1]Hugst!$R$4:$W$4,0))))</f>
        <v>3174.8141589681659</v>
      </c>
      <c r="AE94">
        <f ca="1">IF($C94-AE$1&lt;År1,0,AD93*(1-VLOOKUP($A94,[1]Hugst!$R$5:$W$9,MATCH(ROUNDUP((AE$1)/10,0)*10,[1]Hugst!$R$4:$W$4,0))))</f>
        <v>3173.9508179688487</v>
      </c>
      <c r="AF94">
        <f ca="1">IF($C94-AF$1&lt;År1,0,AE93*(1-VLOOKUP($A94,[1]Hugst!$R$5:$W$9,MATCH(ROUNDUP((AF$1)/10,0)*10,[1]Hugst!$R$4:$W$4,0))))</f>
        <v>3173.1042319902322</v>
      </c>
      <c r="AG94">
        <f ca="1">IF($C94-AG$1&lt;År1,0,AF93*(1-VLOOKUP($A94,[1]Hugst!$R$5:$W$9,MATCH(ROUNDUP((AG$1)/10,0)*10,[1]Hugst!$R$4:$W$4,0))))</f>
        <v>3172.274421947277</v>
      </c>
      <c r="AH94">
        <f ca="1">IF($C94-AH$1&lt;År1,0,AG93*(1-VLOOKUP($A94,[1]Hugst!$R$5:$W$9,MATCH(ROUNDUP((AH$1)/10,0)*10,[1]Hugst!$R$4:$W$4,0))))</f>
        <v>3171.4614088826575</v>
      </c>
      <c r="AI94">
        <f ca="1">IF($C94-AI$1&lt;År1,0,AH93*(1-VLOOKUP($A94,[1]Hugst!$R$5:$W$9,MATCH(ROUNDUP((AI$1)/10,0)*10,[1]Hugst!$R$4:$W$4,0))))</f>
        <v>3170.6652139670186</v>
      </c>
      <c r="AJ94">
        <f ca="1">IF($C94-AJ$1&lt;År1,0,AI93*(1-VLOOKUP($A94,[1]Hugst!$R$5:$W$9,MATCH(ROUNDUP((AJ$1)/10,0)*10,[1]Hugst!$R$4:$W$4,0))))</f>
        <v>3172.5768775227571</v>
      </c>
      <c r="AL94">
        <f ca="1">SUM(F94:AJ94)</f>
        <v>125842.74073966099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636.13450928862039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634.70187265687969</v>
      </c>
      <c r="G96">
        <f ca="1">IF($C96-G$1&lt;År1,0,F95*(1-VLOOKUP($A96,[1]Hugst!$R$5:$W$9,MATCH(ROUNDUP((G$1)/10,0)*10,[1]Hugst!$R$4:$W$4,0))))</f>
        <v>636.13450928862039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633.2763992082987</v>
      </c>
      <c r="G97">
        <f ca="1">IF($C97-G$1&lt;År1,0,F96*(1-VLOOKUP($A97,[1]Hugst!$R$5:$W$9,MATCH(ROUNDUP((G$1)/10,0)*10,[1]Hugst!$R$4:$W$4,0))))</f>
        <v>634.70187265687969</v>
      </c>
      <c r="H97">
        <f ca="1">IF($C97-H$1&lt;År1,0,G96*(1-VLOOKUP($A97,[1]Hugst!$R$5:$W$9,MATCH(ROUNDUP((H$1)/10,0)*10,[1]Hugst!$R$4:$W$4,0))))</f>
        <v>636.13450928862039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631.85805312695265</v>
      </c>
      <c r="G98">
        <f ca="1">IF($C98-G$1&lt;År1,0,F97*(1-VLOOKUP($A98,[1]Hugst!$R$5:$W$9,MATCH(ROUNDUP((G$1)/10,0)*10,[1]Hugst!$R$4:$W$4,0))))</f>
        <v>633.2763992082987</v>
      </c>
      <c r="H98">
        <f ca="1">IF($C98-H$1&lt;År1,0,G97*(1-VLOOKUP($A98,[1]Hugst!$R$5:$W$9,MATCH(ROUNDUP((H$1)/10,0)*10,[1]Hugst!$R$4:$W$4,0))))</f>
        <v>634.70187265687969</v>
      </c>
      <c r="I98">
        <f ca="1">IF($C98-I$1&lt;År1,0,H97*(1-VLOOKUP($A98,[1]Hugst!$R$5:$W$9,MATCH(ROUNDUP((I$1)/10,0)*10,[1]Hugst!$R$4:$W$4,0))))</f>
        <v>636.13450928862039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630.44679877602812</v>
      </c>
      <c r="G99">
        <f ca="1">IF($C99-G$1&lt;År1,0,F98*(1-VLOOKUP($A99,[1]Hugst!$R$5:$W$9,MATCH(ROUNDUP((G$1)/10,0)*10,[1]Hugst!$R$4:$W$4,0))))</f>
        <v>631.85805312695265</v>
      </c>
      <c r="H99">
        <f ca="1">IF($C99-H$1&lt;År1,0,G98*(1-VLOOKUP($A99,[1]Hugst!$R$5:$W$9,MATCH(ROUNDUP((H$1)/10,0)*10,[1]Hugst!$R$4:$W$4,0))))</f>
        <v>633.2763992082987</v>
      </c>
      <c r="I99">
        <f ca="1">IF($C99-I$1&lt;År1,0,H98*(1-VLOOKUP($A99,[1]Hugst!$R$5:$W$9,MATCH(ROUNDUP((I$1)/10,0)*10,[1]Hugst!$R$4:$W$4,0))))</f>
        <v>634.70187265687969</v>
      </c>
      <c r="J99">
        <f ca="1">IF($C99-J$1&lt;År1,0,I98*(1-VLOOKUP($A99,[1]Hugst!$R$5:$W$9,MATCH(ROUNDUP((J$1)/10,0)*10,[1]Hugst!$R$4:$W$4,0))))</f>
        <v>636.13450928862039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629.04260069684574</v>
      </c>
      <c r="G100">
        <f ca="1">IF($C100-G$1&lt;År1,0,F99*(1-VLOOKUP($A100,[1]Hugst!$R$5:$W$9,MATCH(ROUNDUP((G$1)/10,0)*10,[1]Hugst!$R$4:$W$4,0))))</f>
        <v>630.44679877602812</v>
      </c>
      <c r="H100">
        <f ca="1">IF($C100-H$1&lt;År1,0,G99*(1-VLOOKUP($A100,[1]Hugst!$R$5:$W$9,MATCH(ROUNDUP((H$1)/10,0)*10,[1]Hugst!$R$4:$W$4,0))))</f>
        <v>631.85805312695265</v>
      </c>
      <c r="I100">
        <f ca="1">IF($C100-I$1&lt;År1,0,H99*(1-VLOOKUP($A100,[1]Hugst!$R$5:$W$9,MATCH(ROUNDUP((I$1)/10,0)*10,[1]Hugst!$R$4:$W$4,0))))</f>
        <v>633.2763992082987</v>
      </c>
      <c r="J100">
        <f ca="1">IF($C100-J$1&lt;År1,0,I99*(1-VLOOKUP($A100,[1]Hugst!$R$5:$W$9,MATCH(ROUNDUP((J$1)/10,0)*10,[1]Hugst!$R$4:$W$4,0))))</f>
        <v>634.70187265687969</v>
      </c>
      <c r="K100">
        <f ca="1">IF($C100-K$1&lt;År1,0,J99*(1-VLOOKUP($A100,[1]Hugst!$R$5:$W$9,MATCH(ROUNDUP((K$1)/10,0)*10,[1]Hugst!$R$4:$W$4,0))))</f>
        <v>636.13450928862039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627.6454236080765</v>
      </c>
      <c r="G101">
        <f ca="1">IF($C101-G$1&lt;År1,0,F100*(1-VLOOKUP($A101,[1]Hugst!$R$5:$W$9,MATCH(ROUNDUP((G$1)/10,0)*10,[1]Hugst!$R$4:$W$4,0))))</f>
        <v>629.04260069684574</v>
      </c>
      <c r="H101">
        <f ca="1">IF($C101-H$1&lt;År1,0,G100*(1-VLOOKUP($A101,[1]Hugst!$R$5:$W$9,MATCH(ROUNDUP((H$1)/10,0)*10,[1]Hugst!$R$4:$W$4,0))))</f>
        <v>630.44679877602812</v>
      </c>
      <c r="I101">
        <f ca="1">IF($C101-I$1&lt;År1,0,H100*(1-VLOOKUP($A101,[1]Hugst!$R$5:$W$9,MATCH(ROUNDUP((I$1)/10,0)*10,[1]Hugst!$R$4:$W$4,0))))</f>
        <v>631.85805312695265</v>
      </c>
      <c r="J101">
        <f ca="1">IF($C101-J$1&lt;År1,0,I100*(1-VLOOKUP($A101,[1]Hugst!$R$5:$W$9,MATCH(ROUNDUP((J$1)/10,0)*10,[1]Hugst!$R$4:$W$4,0))))</f>
        <v>633.2763992082987</v>
      </c>
      <c r="K101">
        <f ca="1">IF($C101-K$1&lt;År1,0,J100*(1-VLOOKUP($A101,[1]Hugst!$R$5:$W$9,MATCH(ROUNDUP((K$1)/10,0)*10,[1]Hugst!$R$4:$W$4,0))))</f>
        <v>634.70187265687969</v>
      </c>
      <c r="L101">
        <f ca="1">IF($C101-L$1&lt;År1,0,K100*(1-VLOOKUP($A101,[1]Hugst!$R$5:$W$9,MATCH(ROUNDUP((L$1)/10,0)*10,[1]Hugst!$R$4:$W$4,0))))</f>
        <v>636.13450928862039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626.25523240472512</v>
      </c>
      <c r="G102">
        <f ca="1">IF($C102-G$1&lt;År1,0,F101*(1-VLOOKUP($A102,[1]Hugst!$R$5:$W$9,MATCH(ROUNDUP((G$1)/10,0)*10,[1]Hugst!$R$4:$W$4,0))))</f>
        <v>627.6454236080765</v>
      </c>
      <c r="H102">
        <f ca="1">IF($C102-H$1&lt;År1,0,G101*(1-VLOOKUP($A102,[1]Hugst!$R$5:$W$9,MATCH(ROUNDUP((H$1)/10,0)*10,[1]Hugst!$R$4:$W$4,0))))</f>
        <v>629.04260069684574</v>
      </c>
      <c r="I102">
        <f ca="1">IF($C102-I$1&lt;År1,0,H101*(1-VLOOKUP($A102,[1]Hugst!$R$5:$W$9,MATCH(ROUNDUP((I$1)/10,0)*10,[1]Hugst!$R$4:$W$4,0))))</f>
        <v>630.44679877602812</v>
      </c>
      <c r="J102">
        <f ca="1">IF($C102-J$1&lt;År1,0,I101*(1-VLOOKUP($A102,[1]Hugst!$R$5:$W$9,MATCH(ROUNDUP((J$1)/10,0)*10,[1]Hugst!$R$4:$W$4,0))))</f>
        <v>631.85805312695265</v>
      </c>
      <c r="K102">
        <f ca="1">IF($C102-K$1&lt;År1,0,J101*(1-VLOOKUP($A102,[1]Hugst!$R$5:$W$9,MATCH(ROUNDUP((K$1)/10,0)*10,[1]Hugst!$R$4:$W$4,0))))</f>
        <v>633.2763992082987</v>
      </c>
      <c r="L102">
        <f ca="1">IF($C102-L$1&lt;År1,0,K101*(1-VLOOKUP($A102,[1]Hugst!$R$5:$W$9,MATCH(ROUNDUP((L$1)/10,0)*10,[1]Hugst!$R$4:$W$4,0))))</f>
        <v>634.70187265687969</v>
      </c>
      <c r="M102">
        <f ca="1">IF($C102-M$1&lt;År1,0,L101*(1-VLOOKUP($A102,[1]Hugst!$R$5:$W$9,MATCH(ROUNDUP((M$1)/10,0)*10,[1]Hugst!$R$4:$W$4,0))))</f>
        <v>636.13450928862039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624.8719921574102</v>
      </c>
      <c r="G103">
        <f ca="1">IF($C103-G$1&lt;År1,0,F102*(1-VLOOKUP($A103,[1]Hugst!$R$5:$W$9,MATCH(ROUNDUP((G$1)/10,0)*10,[1]Hugst!$R$4:$W$4,0))))</f>
        <v>626.25523240472512</v>
      </c>
      <c r="H103">
        <f ca="1">IF($C103-H$1&lt;År1,0,G102*(1-VLOOKUP($A103,[1]Hugst!$R$5:$W$9,MATCH(ROUNDUP((H$1)/10,0)*10,[1]Hugst!$R$4:$W$4,0))))</f>
        <v>627.6454236080765</v>
      </c>
      <c r="I103">
        <f ca="1">IF($C103-I$1&lt;År1,0,H102*(1-VLOOKUP($A103,[1]Hugst!$R$5:$W$9,MATCH(ROUNDUP((I$1)/10,0)*10,[1]Hugst!$R$4:$W$4,0))))</f>
        <v>629.04260069684574</v>
      </c>
      <c r="J103">
        <f ca="1">IF($C103-J$1&lt;År1,0,I102*(1-VLOOKUP($A103,[1]Hugst!$R$5:$W$9,MATCH(ROUNDUP((J$1)/10,0)*10,[1]Hugst!$R$4:$W$4,0))))</f>
        <v>630.44679877602812</v>
      </c>
      <c r="K103">
        <f ca="1">IF($C103-K$1&lt;År1,0,J102*(1-VLOOKUP($A103,[1]Hugst!$R$5:$W$9,MATCH(ROUNDUP((K$1)/10,0)*10,[1]Hugst!$R$4:$W$4,0))))</f>
        <v>631.85805312695265</v>
      </c>
      <c r="L103">
        <f ca="1">IF($C103-L$1&lt;År1,0,K102*(1-VLOOKUP($A103,[1]Hugst!$R$5:$W$9,MATCH(ROUNDUP((L$1)/10,0)*10,[1]Hugst!$R$4:$W$4,0))))</f>
        <v>633.2763992082987</v>
      </c>
      <c r="M103">
        <f ca="1">IF($C103-M$1&lt;År1,0,L102*(1-VLOOKUP($A103,[1]Hugst!$R$5:$W$9,MATCH(ROUNDUP((M$1)/10,0)*10,[1]Hugst!$R$4:$W$4,0))))</f>
        <v>634.70187265687969</v>
      </c>
      <c r="N103">
        <f ca="1">IF($C103-N$1&lt;År1,0,M102*(1-VLOOKUP($A103,[1]Hugst!$R$5:$W$9,MATCH(ROUNDUP((N$1)/10,0)*10,[1]Hugst!$R$4:$W$4,0))))</f>
        <v>636.13450928862039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623.49566811132399</v>
      </c>
      <c r="G104">
        <f ca="1">IF($C104-G$1&lt;År1,0,F103*(1-VLOOKUP($A104,[1]Hugst!$R$5:$W$9,MATCH(ROUNDUP((G$1)/10,0)*10,[1]Hugst!$R$4:$W$4,0))))</f>
        <v>624.8719921574102</v>
      </c>
      <c r="H104">
        <f ca="1">IF($C104-H$1&lt;År1,0,G103*(1-VLOOKUP($A104,[1]Hugst!$R$5:$W$9,MATCH(ROUNDUP((H$1)/10,0)*10,[1]Hugst!$R$4:$W$4,0))))</f>
        <v>626.25523240472512</v>
      </c>
      <c r="I104">
        <f ca="1">IF($C104-I$1&lt;År1,0,H103*(1-VLOOKUP($A104,[1]Hugst!$R$5:$W$9,MATCH(ROUNDUP((I$1)/10,0)*10,[1]Hugst!$R$4:$W$4,0))))</f>
        <v>627.6454236080765</v>
      </c>
      <c r="J104">
        <f ca="1">IF($C104-J$1&lt;År1,0,I103*(1-VLOOKUP($A104,[1]Hugst!$R$5:$W$9,MATCH(ROUNDUP((J$1)/10,0)*10,[1]Hugst!$R$4:$W$4,0))))</f>
        <v>629.04260069684574</v>
      </c>
      <c r="K104">
        <f ca="1">IF($C104-K$1&lt;År1,0,J103*(1-VLOOKUP($A104,[1]Hugst!$R$5:$W$9,MATCH(ROUNDUP((K$1)/10,0)*10,[1]Hugst!$R$4:$W$4,0))))</f>
        <v>630.44679877602812</v>
      </c>
      <c r="L104">
        <f ca="1">IF($C104-L$1&lt;År1,0,K103*(1-VLOOKUP($A104,[1]Hugst!$R$5:$W$9,MATCH(ROUNDUP((L$1)/10,0)*10,[1]Hugst!$R$4:$W$4,0))))</f>
        <v>631.85805312695265</v>
      </c>
      <c r="M104">
        <f ca="1">IF($C104-M$1&lt;År1,0,L103*(1-VLOOKUP($A104,[1]Hugst!$R$5:$W$9,MATCH(ROUNDUP((M$1)/10,0)*10,[1]Hugst!$R$4:$W$4,0))))</f>
        <v>633.2763992082987</v>
      </c>
      <c r="N104">
        <f ca="1">IF($C104-N$1&lt;År1,0,M103*(1-VLOOKUP($A104,[1]Hugst!$R$5:$W$9,MATCH(ROUNDUP((N$1)/10,0)*10,[1]Hugst!$R$4:$W$4,0))))</f>
        <v>634.70187265687969</v>
      </c>
      <c r="O104">
        <f ca="1">IF($C104-O$1&lt;År1,0,N103*(1-VLOOKUP($A104,[1]Hugst!$R$5:$W$9,MATCH(ROUNDUP((O$1)/10,0)*10,[1]Hugst!$R$4:$W$4,0))))</f>
        <v>636.13450928862039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0.970374675185667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623.0966003606618</v>
      </c>
      <c r="G105">
        <f ca="1">IF($C105-G$1&lt;År1,0,F104*(1-VLOOKUP($A105,[1]Hugst!$R$5:$W$9,MATCH(ROUNDUP((G$1)/10,0)*10,[1]Hugst!$R$4:$W$4,0))))</f>
        <v>623.49566811132399</v>
      </c>
      <c r="H105">
        <f ca="1">IF($C105-H$1&lt;År1,0,G104*(1-VLOOKUP($A105,[1]Hugst!$R$5:$W$9,MATCH(ROUNDUP((H$1)/10,0)*10,[1]Hugst!$R$4:$W$4,0))))</f>
        <v>624.8719921574102</v>
      </c>
      <c r="I105">
        <f ca="1">IF($C105-I$1&lt;År1,0,H104*(1-VLOOKUP($A105,[1]Hugst!$R$5:$W$9,MATCH(ROUNDUP((I$1)/10,0)*10,[1]Hugst!$R$4:$W$4,0))))</f>
        <v>626.25523240472512</v>
      </c>
      <c r="J105">
        <f ca="1">IF($C105-J$1&lt;År1,0,I104*(1-VLOOKUP($A105,[1]Hugst!$R$5:$W$9,MATCH(ROUNDUP((J$1)/10,0)*10,[1]Hugst!$R$4:$W$4,0))))</f>
        <v>627.6454236080765</v>
      </c>
      <c r="K105">
        <f ca="1">IF($C105-K$1&lt;År1,0,J104*(1-VLOOKUP($A105,[1]Hugst!$R$5:$W$9,MATCH(ROUNDUP((K$1)/10,0)*10,[1]Hugst!$R$4:$W$4,0))))</f>
        <v>629.04260069684574</v>
      </c>
      <c r="L105">
        <f ca="1">IF($C105-L$1&lt;År1,0,K104*(1-VLOOKUP($A105,[1]Hugst!$R$5:$W$9,MATCH(ROUNDUP((L$1)/10,0)*10,[1]Hugst!$R$4:$W$4,0))))</f>
        <v>630.44679877602812</v>
      </c>
      <c r="M105">
        <f ca="1">IF($C105-M$1&lt;År1,0,L104*(1-VLOOKUP($A105,[1]Hugst!$R$5:$W$9,MATCH(ROUNDUP((M$1)/10,0)*10,[1]Hugst!$R$4:$W$4,0))))</f>
        <v>631.85805312695265</v>
      </c>
      <c r="N105">
        <f ca="1">IF($C105-N$1&lt;År1,0,M104*(1-VLOOKUP($A105,[1]Hugst!$R$5:$W$9,MATCH(ROUNDUP((N$1)/10,0)*10,[1]Hugst!$R$4:$W$4,0))))</f>
        <v>633.2763992082987</v>
      </c>
      <c r="O105">
        <f ca="1">IF($C105-O$1&lt;År1,0,N104*(1-VLOOKUP($A105,[1]Hugst!$R$5:$W$9,MATCH(ROUNDUP((O$1)/10,0)*10,[1]Hugst!$R$4:$W$4,0))))</f>
        <v>634.70187265687969</v>
      </c>
      <c r="P105">
        <f ca="1">IF($C105-P$1&lt;År1,0,O104*(1-VLOOKUP($A105,[1]Hugst!$R$5:$W$9,MATCH(ROUNDUP((P$1)/10,0)*10,[1]Hugst!$R$4:$W$4,0))))</f>
        <v>635.16413461343438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1.9370837399037555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822.47624732050792</v>
      </c>
      <c r="G106">
        <f ca="1">IF($C106-G$1&lt;År1,0,F105*(1-VLOOKUP($A106,[1]Hugst!$R$5:$W$9,MATCH(ROUNDUP((G$1)/10,0)*10,[1]Hugst!$R$4:$W$4,0))))</f>
        <v>623.0966003606618</v>
      </c>
      <c r="H106">
        <f ca="1">IF($C106-H$1&lt;År1,0,G105*(1-VLOOKUP($A106,[1]Hugst!$R$5:$W$9,MATCH(ROUNDUP((H$1)/10,0)*10,[1]Hugst!$R$4:$W$4,0))))</f>
        <v>623.49566811132399</v>
      </c>
      <c r="I106">
        <f ca="1">IF($C106-I$1&lt;År1,0,H105*(1-VLOOKUP($A106,[1]Hugst!$R$5:$W$9,MATCH(ROUNDUP((I$1)/10,0)*10,[1]Hugst!$R$4:$W$4,0))))</f>
        <v>624.8719921574102</v>
      </c>
      <c r="J106">
        <f ca="1">IF($C106-J$1&lt;År1,0,I105*(1-VLOOKUP($A106,[1]Hugst!$R$5:$W$9,MATCH(ROUNDUP((J$1)/10,0)*10,[1]Hugst!$R$4:$W$4,0))))</f>
        <v>626.25523240472512</v>
      </c>
      <c r="K106">
        <f ca="1">IF($C106-K$1&lt;År1,0,J105*(1-VLOOKUP($A106,[1]Hugst!$R$5:$W$9,MATCH(ROUNDUP((K$1)/10,0)*10,[1]Hugst!$R$4:$W$4,0))))</f>
        <v>627.6454236080765</v>
      </c>
      <c r="L106">
        <f ca="1">IF($C106-L$1&lt;År1,0,K105*(1-VLOOKUP($A106,[1]Hugst!$R$5:$W$9,MATCH(ROUNDUP((L$1)/10,0)*10,[1]Hugst!$R$4:$W$4,0))))</f>
        <v>629.04260069684574</v>
      </c>
      <c r="M106">
        <f ca="1">IF($C106-M$1&lt;År1,0,L105*(1-VLOOKUP($A106,[1]Hugst!$R$5:$W$9,MATCH(ROUNDUP((M$1)/10,0)*10,[1]Hugst!$R$4:$W$4,0))))</f>
        <v>630.44679877602812</v>
      </c>
      <c r="N106">
        <f ca="1">IF($C106-N$1&lt;År1,0,M105*(1-VLOOKUP($A106,[1]Hugst!$R$5:$W$9,MATCH(ROUNDUP((N$1)/10,0)*10,[1]Hugst!$R$4:$W$4,0))))</f>
        <v>631.85805312695265</v>
      </c>
      <c r="O106">
        <f ca="1">IF($C106-O$1&lt;År1,0,N105*(1-VLOOKUP($A106,[1]Hugst!$R$5:$W$9,MATCH(ROUNDUP((O$1)/10,0)*10,[1]Hugst!$R$4:$W$4,0))))</f>
        <v>633.2763992082987</v>
      </c>
      <c r="P106">
        <f ca="1">IF($C106-P$1&lt;År1,0,O105*(1-VLOOKUP($A106,[1]Hugst!$R$5:$W$9,MATCH(ROUNDUP((P$1)/10,0)*10,[1]Hugst!$R$4:$W$4,0))))</f>
        <v>633.73368335960652</v>
      </c>
      <c r="Q106">
        <f ca="1">IF($C106-Q$1&lt;År1,0,P105*(1-VLOOKUP($A106,[1]Hugst!$R$5:$W$9,MATCH(ROUNDUP((Q$1)/10,0)*10,[1]Hugst!$R$4:$W$4,0))))</f>
        <v>634.19524017080369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2.9001437126535166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822.08352505561163</v>
      </c>
      <c r="G107">
        <f ca="1">IF($C107-G$1&lt;År1,0,F106*(1-VLOOKUP($A107,[1]Hugst!$R$5:$W$9,MATCH(ROUNDUP((G$1)/10,0)*10,[1]Hugst!$R$4:$W$4,0))))</f>
        <v>822.47624732050792</v>
      </c>
      <c r="H107">
        <f ca="1">IF($C107-H$1&lt;År1,0,G106*(1-VLOOKUP($A107,[1]Hugst!$R$5:$W$9,MATCH(ROUNDUP((H$1)/10,0)*10,[1]Hugst!$R$4:$W$4,0))))</f>
        <v>623.0966003606618</v>
      </c>
      <c r="I107">
        <f ca="1">IF($C107-I$1&lt;År1,0,H106*(1-VLOOKUP($A107,[1]Hugst!$R$5:$W$9,MATCH(ROUNDUP((I$1)/10,0)*10,[1]Hugst!$R$4:$W$4,0))))</f>
        <v>623.49566811132399</v>
      </c>
      <c r="J107">
        <f ca="1">IF($C107-J$1&lt;År1,0,I106*(1-VLOOKUP($A107,[1]Hugst!$R$5:$W$9,MATCH(ROUNDUP((J$1)/10,0)*10,[1]Hugst!$R$4:$W$4,0))))</f>
        <v>624.8719921574102</v>
      </c>
      <c r="K107">
        <f ca="1">IF($C107-K$1&lt;År1,0,J106*(1-VLOOKUP($A107,[1]Hugst!$R$5:$W$9,MATCH(ROUNDUP((K$1)/10,0)*10,[1]Hugst!$R$4:$W$4,0))))</f>
        <v>626.25523240472512</v>
      </c>
      <c r="L107">
        <f ca="1">IF($C107-L$1&lt;År1,0,K106*(1-VLOOKUP($A107,[1]Hugst!$R$5:$W$9,MATCH(ROUNDUP((L$1)/10,0)*10,[1]Hugst!$R$4:$W$4,0))))</f>
        <v>627.6454236080765</v>
      </c>
      <c r="M107">
        <f ca="1">IF($C107-M$1&lt;År1,0,L106*(1-VLOOKUP($A107,[1]Hugst!$R$5:$W$9,MATCH(ROUNDUP((M$1)/10,0)*10,[1]Hugst!$R$4:$W$4,0))))</f>
        <v>629.04260069684574</v>
      </c>
      <c r="N107">
        <f ca="1">IF($C107-N$1&lt;År1,0,M106*(1-VLOOKUP($A107,[1]Hugst!$R$5:$W$9,MATCH(ROUNDUP((N$1)/10,0)*10,[1]Hugst!$R$4:$W$4,0))))</f>
        <v>630.44679877602812</v>
      </c>
      <c r="O107">
        <f ca="1">IF($C107-O$1&lt;År1,0,N106*(1-VLOOKUP($A107,[1]Hugst!$R$5:$W$9,MATCH(ROUNDUP((O$1)/10,0)*10,[1]Hugst!$R$4:$W$4,0))))</f>
        <v>631.85805312695265</v>
      </c>
      <c r="P107">
        <f ca="1">IF($C107-P$1&lt;År1,0,O106*(1-VLOOKUP($A107,[1]Hugst!$R$5:$W$9,MATCH(ROUNDUP((P$1)/10,0)*10,[1]Hugst!$R$4:$W$4,0))))</f>
        <v>632.31038436204869</v>
      </c>
      <c r="Q107">
        <f ca="1">IF($C107-Q$1&lt;År1,0,P106*(1-VLOOKUP($A107,[1]Hugst!$R$5:$W$9,MATCH(ROUNDUP((Q$1)/10,0)*10,[1]Hugst!$R$4:$W$4,0))))</f>
        <v>632.76697096126134</v>
      </c>
      <c r="R107">
        <f ca="1">IF($C107-R$1&lt;År1,0,Q106*(1-VLOOKUP($A107,[1]Hugst!$R$5:$W$9,MATCH(ROUNDUP((R$1)/10,0)*10,[1]Hugst!$R$4:$W$4,0))))</f>
        <v>633.22782370274649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3.8595710320987564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821.6939490485853</v>
      </c>
      <c r="G108">
        <f ca="1">IF($C108-G$1&lt;År1,0,F107*(1-VLOOKUP($A108,[1]Hugst!$R$5:$W$9,MATCH(ROUNDUP((G$1)/10,0)*10,[1]Hugst!$R$4:$W$4,0))))</f>
        <v>822.08352505561163</v>
      </c>
      <c r="H108">
        <f ca="1">IF($C108-H$1&lt;År1,0,G107*(1-VLOOKUP($A108,[1]Hugst!$R$5:$W$9,MATCH(ROUNDUP((H$1)/10,0)*10,[1]Hugst!$R$4:$W$4,0))))</f>
        <v>822.47624732050792</v>
      </c>
      <c r="I108">
        <f ca="1">IF($C108-I$1&lt;År1,0,H107*(1-VLOOKUP($A108,[1]Hugst!$R$5:$W$9,MATCH(ROUNDUP((I$1)/10,0)*10,[1]Hugst!$R$4:$W$4,0))))</f>
        <v>623.0966003606618</v>
      </c>
      <c r="J108">
        <f ca="1">IF($C108-J$1&lt;År1,0,I107*(1-VLOOKUP($A108,[1]Hugst!$R$5:$W$9,MATCH(ROUNDUP((J$1)/10,0)*10,[1]Hugst!$R$4:$W$4,0))))</f>
        <v>623.49566811132399</v>
      </c>
      <c r="K108">
        <f ca="1">IF($C108-K$1&lt;År1,0,J107*(1-VLOOKUP($A108,[1]Hugst!$R$5:$W$9,MATCH(ROUNDUP((K$1)/10,0)*10,[1]Hugst!$R$4:$W$4,0))))</f>
        <v>624.8719921574102</v>
      </c>
      <c r="L108">
        <f ca="1">IF($C108-L$1&lt;År1,0,K107*(1-VLOOKUP($A108,[1]Hugst!$R$5:$W$9,MATCH(ROUNDUP((L$1)/10,0)*10,[1]Hugst!$R$4:$W$4,0))))</f>
        <v>626.25523240472512</v>
      </c>
      <c r="M108">
        <f ca="1">IF($C108-M$1&lt;År1,0,L107*(1-VLOOKUP($A108,[1]Hugst!$R$5:$W$9,MATCH(ROUNDUP((M$1)/10,0)*10,[1]Hugst!$R$4:$W$4,0))))</f>
        <v>627.6454236080765</v>
      </c>
      <c r="N108">
        <f ca="1">IF($C108-N$1&lt;År1,0,M107*(1-VLOOKUP($A108,[1]Hugst!$R$5:$W$9,MATCH(ROUNDUP((N$1)/10,0)*10,[1]Hugst!$R$4:$W$4,0))))</f>
        <v>629.04260069684574</v>
      </c>
      <c r="O108">
        <f ca="1">IF($C108-O$1&lt;År1,0,N107*(1-VLOOKUP($A108,[1]Hugst!$R$5:$W$9,MATCH(ROUNDUP((O$1)/10,0)*10,[1]Hugst!$R$4:$W$4,0))))</f>
        <v>630.44679877602812</v>
      </c>
      <c r="P108">
        <f ca="1">IF($C108-P$1&lt;År1,0,O107*(1-VLOOKUP($A108,[1]Hugst!$R$5:$W$9,MATCH(ROUNDUP((P$1)/10,0)*10,[1]Hugst!$R$4:$W$4,0))))</f>
        <v>630.89420185947085</v>
      </c>
      <c r="Q108">
        <f ca="1">IF($C108-Q$1&lt;År1,0,P107*(1-VLOOKUP($A108,[1]Hugst!$R$5:$W$9,MATCH(ROUNDUP((Q$1)/10,0)*10,[1]Hugst!$R$4:$W$4,0))))</f>
        <v>631.34584309776756</v>
      </c>
      <c r="R108">
        <f ca="1">IF($C108-R$1&lt;År1,0,Q107*(1-VLOOKUP($A108,[1]Hugst!$R$5:$W$9,MATCH(ROUNDUP((R$1)/10,0)*10,[1]Hugst!$R$4:$W$4,0))))</f>
        <v>631.80173320894755</v>
      </c>
      <c r="S108">
        <f ca="1">IF($C108-S$1&lt;År1,0,R107*(1-VLOOKUP($A108,[1]Hugst!$R$5:$W$9,MATCH(ROUNDUP((S$1)/10,0)*10,[1]Hugst!$R$4:$W$4,0))))</f>
        <v>632.26188295472537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4.8153820574698329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821.30750176412187</v>
      </c>
      <c r="G109">
        <f ca="1">IF($C109-G$1&lt;År1,0,F108*(1-VLOOKUP($A109,[1]Hugst!$R$5:$W$9,MATCH(ROUNDUP((G$1)/10,0)*10,[1]Hugst!$R$4:$W$4,0))))</f>
        <v>821.6939490485853</v>
      </c>
      <c r="H109">
        <f ca="1">IF($C109-H$1&lt;År1,0,G108*(1-VLOOKUP($A109,[1]Hugst!$R$5:$W$9,MATCH(ROUNDUP((H$1)/10,0)*10,[1]Hugst!$R$4:$W$4,0))))</f>
        <v>822.08352505561163</v>
      </c>
      <c r="I109">
        <f ca="1">IF($C109-I$1&lt;År1,0,H108*(1-VLOOKUP($A109,[1]Hugst!$R$5:$W$9,MATCH(ROUNDUP((I$1)/10,0)*10,[1]Hugst!$R$4:$W$4,0))))</f>
        <v>822.47624732050792</v>
      </c>
      <c r="J109">
        <f ca="1">IF($C109-J$1&lt;År1,0,I108*(1-VLOOKUP($A109,[1]Hugst!$R$5:$W$9,MATCH(ROUNDUP((J$1)/10,0)*10,[1]Hugst!$R$4:$W$4,0))))</f>
        <v>623.0966003606618</v>
      </c>
      <c r="K109">
        <f ca="1">IF($C109-K$1&lt;År1,0,J108*(1-VLOOKUP($A109,[1]Hugst!$R$5:$W$9,MATCH(ROUNDUP((K$1)/10,0)*10,[1]Hugst!$R$4:$W$4,0))))</f>
        <v>623.49566811132399</v>
      </c>
      <c r="L109">
        <f ca="1">IF($C109-L$1&lt;År1,0,K108*(1-VLOOKUP($A109,[1]Hugst!$R$5:$W$9,MATCH(ROUNDUP((L$1)/10,0)*10,[1]Hugst!$R$4:$W$4,0))))</f>
        <v>624.8719921574102</v>
      </c>
      <c r="M109">
        <f ca="1">IF($C109-M$1&lt;År1,0,L108*(1-VLOOKUP($A109,[1]Hugst!$R$5:$W$9,MATCH(ROUNDUP((M$1)/10,0)*10,[1]Hugst!$R$4:$W$4,0))))</f>
        <v>626.25523240472512</v>
      </c>
      <c r="N109">
        <f ca="1">IF($C109-N$1&lt;År1,0,M108*(1-VLOOKUP($A109,[1]Hugst!$R$5:$W$9,MATCH(ROUNDUP((N$1)/10,0)*10,[1]Hugst!$R$4:$W$4,0))))</f>
        <v>627.6454236080765</v>
      </c>
      <c r="O109">
        <f ca="1">IF($C109-O$1&lt;År1,0,N108*(1-VLOOKUP($A109,[1]Hugst!$R$5:$W$9,MATCH(ROUNDUP((O$1)/10,0)*10,[1]Hugst!$R$4:$W$4,0))))</f>
        <v>629.04260069684574</v>
      </c>
      <c r="P109">
        <f ca="1">IF($C109-P$1&lt;År1,0,O108*(1-VLOOKUP($A109,[1]Hugst!$R$5:$W$9,MATCH(ROUNDUP((P$1)/10,0)*10,[1]Hugst!$R$4:$W$4,0))))</f>
        <v>629.48510026942063</v>
      </c>
      <c r="Q109">
        <f ca="1">IF($C109-Q$1&lt;År1,0,P108*(1-VLOOKUP($A109,[1]Hugst!$R$5:$W$9,MATCH(ROUNDUP((Q$1)/10,0)*10,[1]Hugst!$R$4:$W$4,0))))</f>
        <v>629.93182087358355</v>
      </c>
      <c r="R109">
        <f ca="1">IF($C109-R$1&lt;År1,0,Q108*(1-VLOOKUP($A109,[1]Hugst!$R$5:$W$9,MATCH(ROUNDUP((R$1)/10,0)*10,[1]Hugst!$R$4:$W$4,0))))</f>
        <v>630.38277316761844</v>
      </c>
      <c r="S109">
        <f ca="1">IF($C109-S$1&lt;År1,0,R108*(1-VLOOKUP($A109,[1]Hugst!$R$5:$W$9,MATCH(ROUNDUP((S$1)/10,0)*10,[1]Hugst!$R$4:$W$4,0))))</f>
        <v>630.8379678532051</v>
      </c>
      <c r="T109">
        <f ca="1">IF($C109-T$1&lt;År1,0,S108*(1-VLOOKUP($A109,[1]Hugst!$R$5:$W$9,MATCH(ROUNDUP((T$1)/10,0)*10,[1]Hugst!$R$4:$W$4,0))))</f>
        <v>631.2974156756419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5.7675930689547386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820.9241657573258</v>
      </c>
      <c r="G110">
        <f ca="1">IF($C110-G$1&lt;År1,0,F109*(1-VLOOKUP($A110,[1]Hugst!$R$5:$W$9,MATCH(ROUNDUP((G$1)/10,0)*10,[1]Hugst!$R$4:$W$4,0))))</f>
        <v>821.30750176412187</v>
      </c>
      <c r="H110">
        <f ca="1">IF($C110-H$1&lt;År1,0,G109*(1-VLOOKUP($A110,[1]Hugst!$R$5:$W$9,MATCH(ROUNDUP((H$1)/10,0)*10,[1]Hugst!$R$4:$W$4,0))))</f>
        <v>821.6939490485853</v>
      </c>
      <c r="I110">
        <f ca="1">IF($C110-I$1&lt;År1,0,H109*(1-VLOOKUP($A110,[1]Hugst!$R$5:$W$9,MATCH(ROUNDUP((I$1)/10,0)*10,[1]Hugst!$R$4:$W$4,0))))</f>
        <v>822.08352505561163</v>
      </c>
      <c r="J110">
        <f ca="1">IF($C110-J$1&lt;År1,0,I109*(1-VLOOKUP($A110,[1]Hugst!$R$5:$W$9,MATCH(ROUNDUP((J$1)/10,0)*10,[1]Hugst!$R$4:$W$4,0))))</f>
        <v>822.47624732050792</v>
      </c>
      <c r="K110">
        <f ca="1">IF($C110-K$1&lt;År1,0,J109*(1-VLOOKUP($A110,[1]Hugst!$R$5:$W$9,MATCH(ROUNDUP((K$1)/10,0)*10,[1]Hugst!$R$4:$W$4,0))))</f>
        <v>623.0966003606618</v>
      </c>
      <c r="L110">
        <f ca="1">IF($C110-L$1&lt;År1,0,K109*(1-VLOOKUP($A110,[1]Hugst!$R$5:$W$9,MATCH(ROUNDUP((L$1)/10,0)*10,[1]Hugst!$R$4:$W$4,0))))</f>
        <v>623.49566811132399</v>
      </c>
      <c r="M110">
        <f ca="1">IF($C110-M$1&lt;År1,0,L109*(1-VLOOKUP($A110,[1]Hugst!$R$5:$W$9,MATCH(ROUNDUP((M$1)/10,0)*10,[1]Hugst!$R$4:$W$4,0))))</f>
        <v>624.8719921574102</v>
      </c>
      <c r="N110">
        <f ca="1">IF($C110-N$1&lt;År1,0,M109*(1-VLOOKUP($A110,[1]Hugst!$R$5:$W$9,MATCH(ROUNDUP((N$1)/10,0)*10,[1]Hugst!$R$4:$W$4,0))))</f>
        <v>626.25523240472512</v>
      </c>
      <c r="O110">
        <f ca="1">IF($C110-O$1&lt;År1,0,N109*(1-VLOOKUP($A110,[1]Hugst!$R$5:$W$9,MATCH(ROUNDUP((O$1)/10,0)*10,[1]Hugst!$R$4:$W$4,0))))</f>
        <v>627.6454236080765</v>
      </c>
      <c r="P110">
        <f ca="1">IF($C110-P$1&lt;År1,0,O109*(1-VLOOKUP($A110,[1]Hugst!$R$5:$W$9,MATCH(ROUNDUP((P$1)/10,0)*10,[1]Hugst!$R$4:$W$4,0))))</f>
        <v>628.08304418730813</v>
      </c>
      <c r="Q110">
        <f ca="1">IF($C110-Q$1&lt;År1,0,P109*(1-VLOOKUP($A110,[1]Hugst!$R$5:$W$9,MATCH(ROUNDUP((Q$1)/10,0)*10,[1]Hugst!$R$4:$W$4,0))))</f>
        <v>628.52486876053501</v>
      </c>
      <c r="R110">
        <f ca="1">IF($C110-R$1&lt;År1,0,Q109*(1-VLOOKUP($A110,[1]Hugst!$R$5:$W$9,MATCH(ROUNDUP((R$1)/10,0)*10,[1]Hugst!$R$4:$W$4,0))))</f>
        <v>628.97090792648828</v>
      </c>
      <c r="S110">
        <f ca="1">IF($C110-S$1&lt;År1,0,R109*(1-VLOOKUP($A110,[1]Hugst!$R$5:$W$9,MATCH(ROUNDUP((S$1)/10,0)*10,[1]Hugst!$R$4:$W$4,0))))</f>
        <v>629.42117232719329</v>
      </c>
      <c r="T110">
        <f ca="1">IF($C110-T$1&lt;År1,0,S109*(1-VLOOKUP($A110,[1]Hugst!$R$5:$W$9,MATCH(ROUNDUP((T$1)/10,0)*10,[1]Hugst!$R$4:$W$4,0))))</f>
        <v>629.87567264800532</v>
      </c>
      <c r="U110">
        <f ca="1">IF($C110-U$1&lt;År1,0,T109*(1-VLOOKUP($A110,[1]Hugst!$R$5:$W$9,MATCH(ROUNDUP((U$1)/10,0)*10,[1]Hugst!$R$4:$W$4,0))))</f>
        <v>630.3344196178316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6.7162202680810879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820.54392367325011</v>
      </c>
      <c r="G111">
        <f ca="1">IF($C111-G$1&lt;År1,0,F110*(1-VLOOKUP($A111,[1]Hugst!$R$5:$W$9,MATCH(ROUNDUP((G$1)/10,0)*10,[1]Hugst!$R$4:$W$4,0))))</f>
        <v>820.9241657573258</v>
      </c>
      <c r="H111">
        <f ca="1">IF($C111-H$1&lt;År1,0,G110*(1-VLOOKUP($A111,[1]Hugst!$R$5:$W$9,MATCH(ROUNDUP((H$1)/10,0)*10,[1]Hugst!$R$4:$W$4,0))))</f>
        <v>821.30750176412187</v>
      </c>
      <c r="I111">
        <f ca="1">IF($C111-I$1&lt;År1,0,H110*(1-VLOOKUP($A111,[1]Hugst!$R$5:$W$9,MATCH(ROUNDUP((I$1)/10,0)*10,[1]Hugst!$R$4:$W$4,0))))</f>
        <v>821.6939490485853</v>
      </c>
      <c r="J111">
        <f ca="1">IF($C111-J$1&lt;År1,0,I110*(1-VLOOKUP($A111,[1]Hugst!$R$5:$W$9,MATCH(ROUNDUP((J$1)/10,0)*10,[1]Hugst!$R$4:$W$4,0))))</f>
        <v>822.08352505561163</v>
      </c>
      <c r="K111">
        <f ca="1">IF($C111-K$1&lt;År1,0,J110*(1-VLOOKUP($A111,[1]Hugst!$R$5:$W$9,MATCH(ROUNDUP((K$1)/10,0)*10,[1]Hugst!$R$4:$W$4,0))))</f>
        <v>822.47624732050792</v>
      </c>
      <c r="L111">
        <f ca="1">IF($C111-L$1&lt;År1,0,K110*(1-VLOOKUP($A111,[1]Hugst!$R$5:$W$9,MATCH(ROUNDUP((L$1)/10,0)*10,[1]Hugst!$R$4:$W$4,0))))</f>
        <v>623.0966003606618</v>
      </c>
      <c r="M111">
        <f ca="1">IF($C111-M$1&lt;År1,0,L110*(1-VLOOKUP($A111,[1]Hugst!$R$5:$W$9,MATCH(ROUNDUP((M$1)/10,0)*10,[1]Hugst!$R$4:$W$4,0))))</f>
        <v>623.49566811132399</v>
      </c>
      <c r="N111">
        <f ca="1">IF($C111-N$1&lt;År1,0,M110*(1-VLOOKUP($A111,[1]Hugst!$R$5:$W$9,MATCH(ROUNDUP((N$1)/10,0)*10,[1]Hugst!$R$4:$W$4,0))))</f>
        <v>624.8719921574102</v>
      </c>
      <c r="O111">
        <f ca="1">IF($C111-O$1&lt;År1,0,N110*(1-VLOOKUP($A111,[1]Hugst!$R$5:$W$9,MATCH(ROUNDUP((O$1)/10,0)*10,[1]Hugst!$R$4:$W$4,0))))</f>
        <v>626.25523240472512</v>
      </c>
      <c r="P111">
        <f ca="1">IF($C111-P$1&lt;År1,0,O110*(1-VLOOKUP($A111,[1]Hugst!$R$5:$W$9,MATCH(ROUNDUP((P$1)/10,0)*10,[1]Hugst!$R$4:$W$4,0))))</f>
        <v>626.68799838562347</v>
      </c>
      <c r="Q111">
        <f ca="1">IF($C111-Q$1&lt;År1,0,P110*(1-VLOOKUP($A111,[1]Hugst!$R$5:$W$9,MATCH(ROUNDUP((Q$1)/10,0)*10,[1]Hugst!$R$4:$W$4,0))))</f>
        <v>627.12495140803935</v>
      </c>
      <c r="R111">
        <f ca="1">IF($C111-R$1&lt;År1,0,Q110*(1-VLOOKUP($A111,[1]Hugst!$R$5:$W$9,MATCH(ROUNDUP((R$1)/10,0)*10,[1]Hugst!$R$4:$W$4,0))))</f>
        <v>627.56610201157821</v>
      </c>
      <c r="S111">
        <f ca="1">IF($C111-S$1&lt;År1,0,R110*(1-VLOOKUP($A111,[1]Hugst!$R$5:$W$9,MATCH(ROUNDUP((S$1)/10,0)*10,[1]Hugst!$R$4:$W$4,0))))</f>
        <v>628.01146077880378</v>
      </c>
      <c r="T111">
        <f ca="1">IF($C111-T$1&lt;År1,0,S110*(1-VLOOKUP($A111,[1]Hugst!$R$5:$W$9,MATCH(ROUNDUP((T$1)/10,0)*10,[1]Hugst!$R$4:$W$4,0))))</f>
        <v>628.46103833550774</v>
      </c>
      <c r="U111">
        <f ca="1">IF($C111-U$1&lt;År1,0,T110*(1-VLOOKUP($A111,[1]Hugst!$R$5:$W$9,MATCH(ROUNDUP((U$1)/10,0)*10,[1]Hugst!$R$4:$W$4,0))))</f>
        <v>628.91484535074562</v>
      </c>
      <c r="V111">
        <f ca="1">IF($C111-V$1&lt;År1,0,U110*(1-VLOOKUP($A111,[1]Hugst!$R$5:$W$9,MATCH(ROUNDUP((V$1)/10,0)*10,[1]Hugst!$R$4:$W$4,0))))</f>
        <v>629.37289253705865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7.6612797781181143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820.16675824651168</v>
      </c>
      <c r="G112">
        <f ca="1">IF($C112-G$1&lt;År1,0,F111*(1-VLOOKUP($A112,[1]Hugst!$R$5:$W$9,MATCH(ROUNDUP((G$1)/10,0)*10,[1]Hugst!$R$4:$W$4,0))))</f>
        <v>820.54392367325011</v>
      </c>
      <c r="H112">
        <f ca="1">IF($C112-H$1&lt;År1,0,G111*(1-VLOOKUP($A112,[1]Hugst!$R$5:$W$9,MATCH(ROUNDUP((H$1)/10,0)*10,[1]Hugst!$R$4:$W$4,0))))</f>
        <v>820.9241657573258</v>
      </c>
      <c r="I112">
        <f ca="1">IF($C112-I$1&lt;År1,0,H111*(1-VLOOKUP($A112,[1]Hugst!$R$5:$W$9,MATCH(ROUNDUP((I$1)/10,0)*10,[1]Hugst!$R$4:$W$4,0))))</f>
        <v>821.30750176412187</v>
      </c>
      <c r="J112">
        <f ca="1">IF($C112-J$1&lt;År1,0,I111*(1-VLOOKUP($A112,[1]Hugst!$R$5:$W$9,MATCH(ROUNDUP((J$1)/10,0)*10,[1]Hugst!$R$4:$W$4,0))))</f>
        <v>821.6939490485853</v>
      </c>
      <c r="K112">
        <f ca="1">IF($C112-K$1&lt;År1,0,J111*(1-VLOOKUP($A112,[1]Hugst!$R$5:$W$9,MATCH(ROUNDUP((K$1)/10,0)*10,[1]Hugst!$R$4:$W$4,0))))</f>
        <v>822.08352505561163</v>
      </c>
      <c r="L112">
        <f ca="1">IF($C112-L$1&lt;År1,0,K111*(1-VLOOKUP($A112,[1]Hugst!$R$5:$W$9,MATCH(ROUNDUP((L$1)/10,0)*10,[1]Hugst!$R$4:$W$4,0))))</f>
        <v>822.47624732050792</v>
      </c>
      <c r="M112">
        <f ca="1">IF($C112-M$1&lt;År1,0,L111*(1-VLOOKUP($A112,[1]Hugst!$R$5:$W$9,MATCH(ROUNDUP((M$1)/10,0)*10,[1]Hugst!$R$4:$W$4,0))))</f>
        <v>623.0966003606618</v>
      </c>
      <c r="N112">
        <f ca="1">IF($C112-N$1&lt;År1,0,M111*(1-VLOOKUP($A112,[1]Hugst!$R$5:$W$9,MATCH(ROUNDUP((N$1)/10,0)*10,[1]Hugst!$R$4:$W$4,0))))</f>
        <v>623.49566811132399</v>
      </c>
      <c r="O112">
        <f ca="1">IF($C112-O$1&lt;År1,0,N111*(1-VLOOKUP($A112,[1]Hugst!$R$5:$W$9,MATCH(ROUNDUP((O$1)/10,0)*10,[1]Hugst!$R$4:$W$4,0))))</f>
        <v>624.8719921574102</v>
      </c>
      <c r="P112">
        <f ca="1">IF($C112-P$1&lt;År1,0,O111*(1-VLOOKUP($A112,[1]Hugst!$R$5:$W$9,MATCH(ROUNDUP((P$1)/10,0)*10,[1]Hugst!$R$4:$W$4,0))))</f>
        <v>625.29992781292128</v>
      </c>
      <c r="Q112">
        <f ca="1">IF($C112-Q$1&lt;År1,0,P111*(1-VLOOKUP($A112,[1]Hugst!$R$5:$W$9,MATCH(ROUNDUP((Q$1)/10,0)*10,[1]Hugst!$R$4:$W$4,0))))</f>
        <v>625.73203364232336</v>
      </c>
      <c r="R112">
        <f ca="1">IF($C112-R$1&lt;År1,0,Q111*(1-VLOOKUP($A112,[1]Hugst!$R$5:$W$9,MATCH(ROUNDUP((R$1)/10,0)*10,[1]Hugst!$R$4:$W$4,0))))</f>
        <v>626.16832012623047</v>
      </c>
      <c r="S112">
        <f ca="1">IF($C112-S$1&lt;År1,0,R111*(1-VLOOKUP($A112,[1]Hugst!$R$5:$W$9,MATCH(ROUNDUP((S$1)/10,0)*10,[1]Hugst!$R$4:$W$4,0))))</f>
        <v>626.6087977881707</v>
      </c>
      <c r="T112">
        <f ca="1">IF($C112-T$1&lt;År1,0,S111*(1-VLOOKUP($A112,[1]Hugst!$R$5:$W$9,MATCH(ROUNDUP((T$1)/10,0)*10,[1]Hugst!$R$4:$W$4,0))))</f>
        <v>627.05347719456495</v>
      </c>
      <c r="U112">
        <f ca="1">IF($C112-U$1&lt;År1,0,T111*(1-VLOOKUP($A112,[1]Hugst!$R$5:$W$9,MATCH(ROUNDUP((U$1)/10,0)*10,[1]Hugst!$R$4:$W$4,0))))</f>
        <v>627.50236895499597</v>
      </c>
      <c r="V112">
        <f ca="1">IF($C112-V$1&lt;År1,0,U111*(1-VLOOKUP($A112,[1]Hugst!$R$5:$W$9,MATCH(ROUNDUP((V$1)/10,0)*10,[1]Hugst!$R$4:$W$4,0))))</f>
        <v>627.95548372224448</v>
      </c>
      <c r="W112">
        <f ca="1">IF($C112-W$1&lt;År1,0,V111*(1-VLOOKUP($A112,[1]Hugst!$R$5:$W$9,MATCH(ROUNDUP((W$1)/10,0)*10,[1]Hugst!$R$4:$W$4,0))))</f>
        <v>628.41283219251056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8.6027876444622962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819.79265230076555</v>
      </c>
      <c r="G113">
        <f ca="1">IF($C113-G$1&lt;År1,0,F112*(1-VLOOKUP($A113,[1]Hugst!$R$5:$W$9,MATCH(ROUNDUP((G$1)/10,0)*10,[1]Hugst!$R$4:$W$4,0))))</f>
        <v>820.16675824651168</v>
      </c>
      <c r="H113">
        <f ca="1">IF($C113-H$1&lt;År1,0,G112*(1-VLOOKUP($A113,[1]Hugst!$R$5:$W$9,MATCH(ROUNDUP((H$1)/10,0)*10,[1]Hugst!$R$4:$W$4,0))))</f>
        <v>820.54392367325011</v>
      </c>
      <c r="I113">
        <f ca="1">IF($C113-I$1&lt;År1,0,H112*(1-VLOOKUP($A113,[1]Hugst!$R$5:$W$9,MATCH(ROUNDUP((I$1)/10,0)*10,[1]Hugst!$R$4:$W$4,0))))</f>
        <v>820.9241657573258</v>
      </c>
      <c r="J113">
        <f ca="1">IF($C113-J$1&lt;År1,0,I112*(1-VLOOKUP($A113,[1]Hugst!$R$5:$W$9,MATCH(ROUNDUP((J$1)/10,0)*10,[1]Hugst!$R$4:$W$4,0))))</f>
        <v>821.30750176412187</v>
      </c>
      <c r="K113">
        <f ca="1">IF($C113-K$1&lt;År1,0,J112*(1-VLOOKUP($A113,[1]Hugst!$R$5:$W$9,MATCH(ROUNDUP((K$1)/10,0)*10,[1]Hugst!$R$4:$W$4,0))))</f>
        <v>821.6939490485853</v>
      </c>
      <c r="L113">
        <f ca="1">IF($C113-L$1&lt;År1,0,K112*(1-VLOOKUP($A113,[1]Hugst!$R$5:$W$9,MATCH(ROUNDUP((L$1)/10,0)*10,[1]Hugst!$R$4:$W$4,0))))</f>
        <v>822.08352505561163</v>
      </c>
      <c r="M113">
        <f ca="1">IF($C113-M$1&lt;År1,0,L112*(1-VLOOKUP($A113,[1]Hugst!$R$5:$W$9,MATCH(ROUNDUP((M$1)/10,0)*10,[1]Hugst!$R$4:$W$4,0))))</f>
        <v>822.47624732050792</v>
      </c>
      <c r="N113">
        <f ca="1">IF($C113-N$1&lt;År1,0,M112*(1-VLOOKUP($A113,[1]Hugst!$R$5:$W$9,MATCH(ROUNDUP((N$1)/10,0)*10,[1]Hugst!$R$4:$W$4,0))))</f>
        <v>623.0966003606618</v>
      </c>
      <c r="O113">
        <f ca="1">IF($C113-O$1&lt;År1,0,N112*(1-VLOOKUP($A113,[1]Hugst!$R$5:$W$9,MATCH(ROUNDUP((O$1)/10,0)*10,[1]Hugst!$R$4:$W$4,0))))</f>
        <v>623.49566811132399</v>
      </c>
      <c r="P113">
        <f ca="1">IF($C113-P$1&lt;År1,0,O112*(1-VLOOKUP($A113,[1]Hugst!$R$5:$W$9,MATCH(ROUNDUP((P$1)/10,0)*10,[1]Hugst!$R$4:$W$4,0))))</f>
        <v>623.91879759310223</v>
      </c>
      <c r="Q113">
        <f ca="1">IF($C113-Q$1&lt;År1,0,P112*(1-VLOOKUP($A113,[1]Hugst!$R$5:$W$9,MATCH(ROUNDUP((Q$1)/10,0)*10,[1]Hugst!$R$4:$W$4,0))))</f>
        <v>624.34608046541007</v>
      </c>
      <c r="R113">
        <f ca="1">IF($C113-R$1&lt;År1,0,Q112*(1-VLOOKUP($A113,[1]Hugst!$R$5:$W$9,MATCH(ROUNDUP((R$1)/10,0)*10,[1]Hugst!$R$4:$W$4,0))))</f>
        <v>624.77752715032659</v>
      </c>
      <c r="S113">
        <f ca="1">IF($C113-S$1&lt;År1,0,R112*(1-VLOOKUP($A113,[1]Hugst!$R$5:$W$9,MATCH(ROUNDUP((S$1)/10,0)*10,[1]Hugst!$R$4:$W$4,0))))</f>
        <v>625.21314811247862</v>
      </c>
      <c r="T113">
        <f ca="1">IF($C113-T$1&lt;År1,0,S112*(1-VLOOKUP($A113,[1]Hugst!$R$5:$W$9,MATCH(ROUNDUP((T$1)/10,0)*10,[1]Hugst!$R$4:$W$4,0))))</f>
        <v>625.65295385934132</v>
      </c>
      <c r="U113">
        <f ca="1">IF($C113-U$1&lt;År1,0,T112*(1-VLOOKUP($A113,[1]Hugst!$R$5:$W$9,MATCH(ROUNDUP((U$1)/10,0)*10,[1]Hugst!$R$4:$W$4,0))))</f>
        <v>626.09695494121729</v>
      </c>
      <c r="V113">
        <f ca="1">IF($C113-V$1&lt;År1,0,U112*(1-VLOOKUP($A113,[1]Hugst!$R$5:$W$9,MATCH(ROUNDUP((V$1)/10,0)*10,[1]Hugst!$R$4:$W$4,0))))</f>
        <v>626.54516195150529</v>
      </c>
      <c r="W113">
        <f ca="1">IF($C113-W$1&lt;År1,0,V112*(1-VLOOKUP($A113,[1]Hugst!$R$5:$W$9,MATCH(ROUNDUP((W$1)/10,0)*10,[1]Hugst!$R$4:$W$4,0))))</f>
        <v>626.99758552673597</v>
      </c>
      <c r="X113">
        <f ca="1">IF($C113-X$1&lt;År1,0,W112*(1-VLOOKUP($A113,[1]Hugst!$R$5:$W$9,MATCH(ROUNDUP((X$1)/10,0)*10,[1]Hugst!$R$4:$W$4,0))))</f>
        <v>627.45423634679321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9.540759835001154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819.42158874826066</v>
      </c>
      <c r="G114">
        <f ca="1">IF($C114-G$1&lt;År1,0,F113*(1-VLOOKUP($A114,[1]Hugst!$R$5:$W$9,MATCH(ROUNDUP((G$1)/10,0)*10,[1]Hugst!$R$4:$W$4,0))))</f>
        <v>819.79265230076555</v>
      </c>
      <c r="H114">
        <f ca="1">IF($C114-H$1&lt;År1,0,G113*(1-VLOOKUP($A114,[1]Hugst!$R$5:$W$9,MATCH(ROUNDUP((H$1)/10,0)*10,[1]Hugst!$R$4:$W$4,0))))</f>
        <v>820.16675824651168</v>
      </c>
      <c r="I114">
        <f ca="1">IF($C114-I$1&lt;År1,0,H113*(1-VLOOKUP($A114,[1]Hugst!$R$5:$W$9,MATCH(ROUNDUP((I$1)/10,0)*10,[1]Hugst!$R$4:$W$4,0))))</f>
        <v>820.54392367325011</v>
      </c>
      <c r="J114">
        <f ca="1">IF($C114-J$1&lt;År1,0,I113*(1-VLOOKUP($A114,[1]Hugst!$R$5:$W$9,MATCH(ROUNDUP((J$1)/10,0)*10,[1]Hugst!$R$4:$W$4,0))))</f>
        <v>820.9241657573258</v>
      </c>
      <c r="K114">
        <f ca="1">IF($C114-K$1&lt;År1,0,J113*(1-VLOOKUP($A114,[1]Hugst!$R$5:$W$9,MATCH(ROUNDUP((K$1)/10,0)*10,[1]Hugst!$R$4:$W$4,0))))</f>
        <v>821.30750176412187</v>
      </c>
      <c r="L114">
        <f ca="1">IF($C114-L$1&lt;År1,0,K113*(1-VLOOKUP($A114,[1]Hugst!$R$5:$W$9,MATCH(ROUNDUP((L$1)/10,0)*10,[1]Hugst!$R$4:$W$4,0))))</f>
        <v>821.6939490485853</v>
      </c>
      <c r="M114">
        <f ca="1">IF($C114-M$1&lt;År1,0,L113*(1-VLOOKUP($A114,[1]Hugst!$R$5:$W$9,MATCH(ROUNDUP((M$1)/10,0)*10,[1]Hugst!$R$4:$W$4,0))))</f>
        <v>822.08352505561163</v>
      </c>
      <c r="N114">
        <f ca="1">IF($C114-N$1&lt;År1,0,M113*(1-VLOOKUP($A114,[1]Hugst!$R$5:$W$9,MATCH(ROUNDUP((N$1)/10,0)*10,[1]Hugst!$R$4:$W$4,0))))</f>
        <v>822.47624732050792</v>
      </c>
      <c r="O114">
        <f ca="1">IF($C114-O$1&lt;År1,0,N113*(1-VLOOKUP($A114,[1]Hugst!$R$5:$W$9,MATCH(ROUNDUP((O$1)/10,0)*10,[1]Hugst!$R$4:$W$4,0))))</f>
        <v>623.0966003606618</v>
      </c>
      <c r="P114">
        <f ca="1">IF($C114-P$1&lt;År1,0,O113*(1-VLOOKUP($A114,[1]Hugst!$R$5:$W$9,MATCH(ROUNDUP((P$1)/10,0)*10,[1]Hugst!$R$4:$W$4,0))))</f>
        <v>622.54457302437447</v>
      </c>
      <c r="Q114">
        <f ca="1">IF($C114-Q$1&lt;År1,0,P113*(1-VLOOKUP($A114,[1]Hugst!$R$5:$W$9,MATCH(ROUNDUP((Q$1)/10,0)*10,[1]Hugst!$R$4:$W$4,0))))</f>
        <v>622.96705705440081</v>
      </c>
      <c r="R114">
        <f ca="1">IF($C114-R$1&lt;År1,0,Q113*(1-VLOOKUP($A114,[1]Hugst!$R$5:$W$9,MATCH(ROUNDUP((R$1)/10,0)*10,[1]Hugst!$R$4:$W$4,0))))</f>
        <v>623.39368813927638</v>
      </c>
      <c r="S114">
        <f ca="1">IF($C114-S$1&lt;År1,0,R113*(1-VLOOKUP($A114,[1]Hugst!$R$5:$W$9,MATCH(ROUNDUP((S$1)/10,0)*10,[1]Hugst!$R$4:$W$4,0))))</f>
        <v>623.82447668518205</v>
      </c>
      <c r="T114">
        <f ca="1">IF($C114-T$1&lt;År1,0,S113*(1-VLOOKUP($A114,[1]Hugst!$R$5:$W$9,MATCH(ROUNDUP((T$1)/10,0)*10,[1]Hugst!$R$4:$W$4,0))))</f>
        <v>624.25943314078165</v>
      </c>
      <c r="U114">
        <f ca="1">IF($C114-U$1&lt;År1,0,T113*(1-VLOOKUP($A114,[1]Hugst!$R$5:$W$9,MATCH(ROUNDUP((U$1)/10,0)*10,[1]Hugst!$R$4:$W$4,0))))</f>
        <v>624.69856799752199</v>
      </c>
      <c r="V114">
        <f ca="1">IF($C114-V$1&lt;År1,0,U113*(1-VLOOKUP($A114,[1]Hugst!$R$5:$W$9,MATCH(ROUNDUP((V$1)/10,0)*10,[1]Hugst!$R$4:$W$4,0))))</f>
        <v>625.14189178961203</v>
      </c>
      <c r="W114">
        <f ca="1">IF($C114-W$1&lt;År1,0,V113*(1-VLOOKUP($A114,[1]Hugst!$R$5:$W$9,MATCH(ROUNDUP((W$1)/10,0)*10,[1]Hugst!$R$4:$W$4,0))))</f>
        <v>625.5894150942911</v>
      </c>
      <c r="X114">
        <f ca="1">IF($C114-X$1&lt;År1,0,W113*(1-VLOOKUP($A114,[1]Hugst!$R$5:$W$9,MATCH(ROUNDUP((X$1)/10,0)*10,[1]Hugst!$R$4:$W$4,0))))</f>
        <v>626.04114853186468</v>
      </c>
      <c r="Y114">
        <f ca="1">IF($C114-Y$1&lt;År1,0,X113*(1-VLOOKUP($A114,[1]Hugst!$R$5:$W$9,MATCH(ROUNDUP((Y$1)/10,0)*10,[1]Hugst!$R$4:$W$4,0))))</f>
        <v>626.49710276592521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10.609424910118832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819.1877632590614</v>
      </c>
      <c r="G115">
        <f ca="1">IF($C115-G$1&lt;År1,0,F114*(1-VLOOKUP($A115,[1]Hugst!$R$5:$W$9,MATCH(ROUNDUP((G$1)/10,0)*10,[1]Hugst!$R$4:$W$4,0))))</f>
        <v>819.42158874826066</v>
      </c>
      <c r="H115">
        <f ca="1">IF($C115-H$1&lt;År1,0,G114*(1-VLOOKUP($A115,[1]Hugst!$R$5:$W$9,MATCH(ROUNDUP((H$1)/10,0)*10,[1]Hugst!$R$4:$W$4,0))))</f>
        <v>819.79265230076555</v>
      </c>
      <c r="I115">
        <f ca="1">IF($C115-I$1&lt;År1,0,H114*(1-VLOOKUP($A115,[1]Hugst!$R$5:$W$9,MATCH(ROUNDUP((I$1)/10,0)*10,[1]Hugst!$R$4:$W$4,0))))</f>
        <v>820.16675824651168</v>
      </c>
      <c r="J115">
        <f ca="1">IF($C115-J$1&lt;År1,0,I114*(1-VLOOKUP($A115,[1]Hugst!$R$5:$W$9,MATCH(ROUNDUP((J$1)/10,0)*10,[1]Hugst!$R$4:$W$4,0))))</f>
        <v>820.54392367325011</v>
      </c>
      <c r="K115">
        <f ca="1">IF($C115-K$1&lt;År1,0,J114*(1-VLOOKUP($A115,[1]Hugst!$R$5:$W$9,MATCH(ROUNDUP((K$1)/10,0)*10,[1]Hugst!$R$4:$W$4,0))))</f>
        <v>820.9241657573258</v>
      </c>
      <c r="L115">
        <f ca="1">IF($C115-L$1&lt;År1,0,K114*(1-VLOOKUP($A115,[1]Hugst!$R$5:$W$9,MATCH(ROUNDUP((L$1)/10,0)*10,[1]Hugst!$R$4:$W$4,0))))</f>
        <v>821.30750176412187</v>
      </c>
      <c r="M115">
        <f ca="1">IF($C115-M$1&lt;År1,0,L114*(1-VLOOKUP($A115,[1]Hugst!$R$5:$W$9,MATCH(ROUNDUP((M$1)/10,0)*10,[1]Hugst!$R$4:$W$4,0))))</f>
        <v>821.6939490485853</v>
      </c>
      <c r="N115">
        <f ca="1">IF($C115-N$1&lt;År1,0,M114*(1-VLOOKUP($A115,[1]Hugst!$R$5:$W$9,MATCH(ROUNDUP((N$1)/10,0)*10,[1]Hugst!$R$4:$W$4,0))))</f>
        <v>822.08352505561163</v>
      </c>
      <c r="O115">
        <f ca="1">IF($C115-O$1&lt;År1,0,N114*(1-VLOOKUP($A115,[1]Hugst!$R$5:$W$9,MATCH(ROUNDUP((O$1)/10,0)*10,[1]Hugst!$R$4:$W$4,0))))</f>
        <v>822.47624732050792</v>
      </c>
      <c r="P115">
        <f ca="1">IF($C115-P$1&lt;År1,0,O114*(1-VLOOKUP($A115,[1]Hugst!$R$5:$W$9,MATCH(ROUNDUP((P$1)/10,0)*10,[1]Hugst!$R$4:$W$4,0))))</f>
        <v>622.1461140211286</v>
      </c>
      <c r="Q115">
        <f ca="1">IF($C115-Q$1&lt;År1,0,P114*(1-VLOOKUP($A115,[1]Hugst!$R$5:$W$9,MATCH(ROUNDUP((Q$1)/10,0)*10,[1]Hugst!$R$4:$W$4,0))))</f>
        <v>621.59492876043896</v>
      </c>
      <c r="R115">
        <f ca="1">IF($C115-R$1&lt;År1,0,Q114*(1-VLOOKUP($A115,[1]Hugst!$R$5:$W$9,MATCH(ROUNDUP((R$1)/10,0)*10,[1]Hugst!$R$4:$W$4,0))))</f>
        <v>622.01676832330088</v>
      </c>
      <c r="S115">
        <f ca="1">IF($C115-S$1&lt;År1,0,R114*(1-VLOOKUP($A115,[1]Hugst!$R$5:$W$9,MATCH(ROUNDUP((S$1)/10,0)*10,[1]Hugst!$R$4:$W$4,0))))</f>
        <v>622.44274861499616</v>
      </c>
      <c r="T115">
        <f ca="1">IF($C115-T$1&lt;År1,0,S114*(1-VLOOKUP($A115,[1]Hugst!$R$5:$W$9,MATCH(ROUNDUP((T$1)/10,0)*10,[1]Hugst!$R$4:$W$4,0))))</f>
        <v>622.87288002583171</v>
      </c>
      <c r="U115">
        <f ca="1">IF($C115-U$1&lt;År1,0,T114*(1-VLOOKUP($A115,[1]Hugst!$R$5:$W$9,MATCH(ROUNDUP((U$1)/10,0)*10,[1]Hugst!$R$4:$W$4,0))))</f>
        <v>623.30717298853301</v>
      </c>
      <c r="V115">
        <f ca="1">IF($C115-V$1&lt;År1,0,U114*(1-VLOOKUP($A115,[1]Hugst!$R$5:$W$9,MATCH(ROUNDUP((V$1)/10,0)*10,[1]Hugst!$R$4:$W$4,0))))</f>
        <v>623.74563797854273</v>
      </c>
      <c r="W115">
        <f ca="1">IF($C115-W$1&lt;År1,0,V114*(1-VLOOKUP($A115,[1]Hugst!$R$5:$W$9,MATCH(ROUNDUP((W$1)/10,0)*10,[1]Hugst!$R$4:$W$4,0))))</f>
        <v>624.18828551400077</v>
      </c>
      <c r="X115">
        <f ca="1">IF($C115-X$1&lt;År1,0,W114*(1-VLOOKUP($A115,[1]Hugst!$R$5:$W$9,MATCH(ROUNDUP((X$1)/10,0)*10,[1]Hugst!$R$4:$W$4,0))))</f>
        <v>624.63512615601167</v>
      </c>
      <c r="Y115">
        <f ca="1">IF($C115-Y$1&lt;År1,0,X114*(1-VLOOKUP($A115,[1]Hugst!$R$5:$W$9,MATCH(ROUNDUP((Y$1)/10,0)*10,[1]Hugst!$R$4:$W$4,0))))</f>
        <v>625.08617050868042</v>
      </c>
      <c r="Z115">
        <f ca="1">IF($C115-Z$1&lt;År1,0,Y114*(1-VLOOKUP($A115,[1]Hugst!$R$5:$W$9,MATCH(ROUNDUP((Z$1)/10,0)*10,[1]Hugst!$R$4:$W$4,0))))</f>
        <v>625.40869678230638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11.980068741873765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819.26242897932218</v>
      </c>
      <c r="G116">
        <f ca="1">IF($C116-G$1&lt;År1,0,F115*(1-VLOOKUP($A116,[1]Hugst!$R$5:$W$9,MATCH(ROUNDUP((G$1)/10,0)*10,[1]Hugst!$R$4:$W$4,0))))</f>
        <v>819.1877632590614</v>
      </c>
      <c r="H116">
        <f ca="1">IF($C116-H$1&lt;År1,0,G115*(1-VLOOKUP($A116,[1]Hugst!$R$5:$W$9,MATCH(ROUNDUP((H$1)/10,0)*10,[1]Hugst!$R$4:$W$4,0))))</f>
        <v>819.42158874826066</v>
      </c>
      <c r="I116">
        <f ca="1">IF($C116-I$1&lt;År1,0,H115*(1-VLOOKUP($A116,[1]Hugst!$R$5:$W$9,MATCH(ROUNDUP((I$1)/10,0)*10,[1]Hugst!$R$4:$W$4,0))))</f>
        <v>819.79265230076555</v>
      </c>
      <c r="J116">
        <f ca="1">IF($C116-J$1&lt;År1,0,I115*(1-VLOOKUP($A116,[1]Hugst!$R$5:$W$9,MATCH(ROUNDUP((J$1)/10,0)*10,[1]Hugst!$R$4:$W$4,0))))</f>
        <v>820.16675824651168</v>
      </c>
      <c r="K116">
        <f ca="1">IF($C116-K$1&lt;År1,0,J115*(1-VLOOKUP($A116,[1]Hugst!$R$5:$W$9,MATCH(ROUNDUP((K$1)/10,0)*10,[1]Hugst!$R$4:$W$4,0))))</f>
        <v>820.54392367325011</v>
      </c>
      <c r="L116">
        <f ca="1">IF($C116-L$1&lt;År1,0,K115*(1-VLOOKUP($A116,[1]Hugst!$R$5:$W$9,MATCH(ROUNDUP((L$1)/10,0)*10,[1]Hugst!$R$4:$W$4,0))))</f>
        <v>820.9241657573258</v>
      </c>
      <c r="M116">
        <f ca="1">IF($C116-M$1&lt;År1,0,L115*(1-VLOOKUP($A116,[1]Hugst!$R$5:$W$9,MATCH(ROUNDUP((M$1)/10,0)*10,[1]Hugst!$R$4:$W$4,0))))</f>
        <v>821.30750176412187</v>
      </c>
      <c r="N116">
        <f ca="1">IF($C116-N$1&lt;År1,0,M115*(1-VLOOKUP($A116,[1]Hugst!$R$5:$W$9,MATCH(ROUNDUP((N$1)/10,0)*10,[1]Hugst!$R$4:$W$4,0))))</f>
        <v>821.6939490485853</v>
      </c>
      <c r="O116">
        <f ca="1">IF($C116-O$1&lt;År1,0,N115*(1-VLOOKUP($A116,[1]Hugst!$R$5:$W$9,MATCH(ROUNDUP((O$1)/10,0)*10,[1]Hugst!$R$4:$W$4,0))))</f>
        <v>822.08352505561163</v>
      </c>
      <c r="P116">
        <f ca="1">IF($C116-P$1&lt;År1,0,O115*(1-VLOOKUP($A116,[1]Hugst!$R$5:$W$9,MATCH(ROUNDUP((P$1)/10,0)*10,[1]Hugst!$R$4:$W$4,0))))</f>
        <v>821.22162253645968</v>
      </c>
      <c r="Q116">
        <f ca="1">IF($C116-Q$1&lt;År1,0,P115*(1-VLOOKUP($A116,[1]Hugst!$R$5:$W$9,MATCH(ROUNDUP((Q$1)/10,0)*10,[1]Hugst!$R$4:$W$4,0))))</f>
        <v>621.19707757601157</v>
      </c>
      <c r="R116">
        <f ca="1">IF($C116-R$1&lt;År1,0,Q115*(1-VLOOKUP($A116,[1]Hugst!$R$5:$W$9,MATCH(ROUNDUP((R$1)/10,0)*10,[1]Hugst!$R$4:$W$4,0))))</f>
        <v>620.64673310639762</v>
      </c>
      <c r="S116">
        <f ca="1">IF($C116-S$1&lt;År1,0,R115*(1-VLOOKUP($A116,[1]Hugst!$R$5:$W$9,MATCH(ROUNDUP((S$1)/10,0)*10,[1]Hugst!$R$4:$W$4,0))))</f>
        <v>621.06792918518056</v>
      </c>
      <c r="T116">
        <f ca="1">IF($C116-T$1&lt;År1,0,S115*(1-VLOOKUP($A116,[1]Hugst!$R$5:$W$9,MATCH(ROUNDUP((T$1)/10,0)*10,[1]Hugst!$R$4:$W$4,0))))</f>
        <v>621.49325967643085</v>
      </c>
      <c r="U116">
        <f ca="1">IF($C116-U$1&lt;År1,0,T115*(1-VLOOKUP($A116,[1]Hugst!$R$5:$W$9,MATCH(ROUNDUP((U$1)/10,0)*10,[1]Hugst!$R$4:$W$4,0))))</f>
        <v>621.92273495460586</v>
      </c>
      <c r="V116">
        <f ca="1">IF($C116-V$1&lt;År1,0,U115*(1-VLOOKUP($A116,[1]Hugst!$R$5:$W$9,MATCH(ROUNDUP((V$1)/10,0)*10,[1]Hugst!$R$4:$W$4,0))))</f>
        <v>622.35636543651663</v>
      </c>
      <c r="W116">
        <f ca="1">IF($C116-W$1&lt;År1,0,V115*(1-VLOOKUP($A116,[1]Hugst!$R$5:$W$9,MATCH(ROUNDUP((W$1)/10,0)*10,[1]Hugst!$R$4:$W$4,0))))</f>
        <v>622.79416158162633</v>
      </c>
      <c r="X116">
        <f ca="1">IF($C116-X$1&lt;År1,0,W115*(1-VLOOKUP($A116,[1]Hugst!$R$5:$W$9,MATCH(ROUNDUP((X$1)/10,0)*10,[1]Hugst!$R$4:$W$4,0))))</f>
        <v>623.23613389203024</v>
      </c>
      <c r="Y116">
        <f ca="1">IF($C116-Y$1&lt;År1,0,X115*(1-VLOOKUP($A116,[1]Hugst!$R$5:$W$9,MATCH(ROUNDUP((Y$1)/10,0)*10,[1]Hugst!$R$4:$W$4,0))))</f>
        <v>623.6822929127228</v>
      </c>
      <c r="Z116">
        <f ca="1">IF($C116-Z$1&lt;År1,0,Y115*(1-VLOOKUP($A116,[1]Hugst!$R$5:$W$9,MATCH(ROUNDUP((Z$1)/10,0)*10,[1]Hugst!$R$4:$W$4,0))))</f>
        <v>624.00021572093226</v>
      </c>
      <c r="AA116">
        <f ca="1">IF($C116-AA$1&lt;År1,0,Z115*(1-VLOOKUP($A116,[1]Hugst!$R$5:$W$9,MATCH(ROUNDUP((AA$1)/10,0)*10,[1]Hugst!$R$4:$W$4,0))))</f>
        <v>624.32218167348958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13.347495586889636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819.34035760339532</v>
      </c>
      <c r="G117">
        <f ca="1">IF($C117-G$1&lt;År1,0,F116*(1-VLOOKUP($A117,[1]Hugst!$R$5:$W$9,MATCH(ROUNDUP((G$1)/10,0)*10,[1]Hugst!$R$4:$W$4,0))))</f>
        <v>819.26242897932218</v>
      </c>
      <c r="H117">
        <f ca="1">IF($C117-H$1&lt;År1,0,G116*(1-VLOOKUP($A117,[1]Hugst!$R$5:$W$9,MATCH(ROUNDUP((H$1)/10,0)*10,[1]Hugst!$R$4:$W$4,0))))</f>
        <v>819.1877632590614</v>
      </c>
      <c r="I117">
        <f ca="1">IF($C117-I$1&lt;År1,0,H116*(1-VLOOKUP($A117,[1]Hugst!$R$5:$W$9,MATCH(ROUNDUP((I$1)/10,0)*10,[1]Hugst!$R$4:$W$4,0))))</f>
        <v>819.42158874826066</v>
      </c>
      <c r="J117">
        <f ca="1">IF($C117-J$1&lt;År1,0,I116*(1-VLOOKUP($A117,[1]Hugst!$R$5:$W$9,MATCH(ROUNDUP((J$1)/10,0)*10,[1]Hugst!$R$4:$W$4,0))))</f>
        <v>819.79265230076555</v>
      </c>
      <c r="K117">
        <f ca="1">IF($C117-K$1&lt;År1,0,J116*(1-VLOOKUP($A117,[1]Hugst!$R$5:$W$9,MATCH(ROUNDUP((K$1)/10,0)*10,[1]Hugst!$R$4:$W$4,0))))</f>
        <v>820.16675824651168</v>
      </c>
      <c r="L117">
        <f ca="1">IF($C117-L$1&lt;År1,0,K116*(1-VLOOKUP($A117,[1]Hugst!$R$5:$W$9,MATCH(ROUNDUP((L$1)/10,0)*10,[1]Hugst!$R$4:$W$4,0))))</f>
        <v>820.54392367325011</v>
      </c>
      <c r="M117">
        <f ca="1">IF($C117-M$1&lt;År1,0,L116*(1-VLOOKUP($A117,[1]Hugst!$R$5:$W$9,MATCH(ROUNDUP((M$1)/10,0)*10,[1]Hugst!$R$4:$W$4,0))))</f>
        <v>820.9241657573258</v>
      </c>
      <c r="N117">
        <f ca="1">IF($C117-N$1&lt;År1,0,M116*(1-VLOOKUP($A117,[1]Hugst!$R$5:$W$9,MATCH(ROUNDUP((N$1)/10,0)*10,[1]Hugst!$R$4:$W$4,0))))</f>
        <v>821.30750176412187</v>
      </c>
      <c r="O117">
        <f ca="1">IF($C117-O$1&lt;År1,0,N116*(1-VLOOKUP($A117,[1]Hugst!$R$5:$W$9,MATCH(ROUNDUP((O$1)/10,0)*10,[1]Hugst!$R$4:$W$4,0))))</f>
        <v>821.6939490485853</v>
      </c>
      <c r="P117">
        <f ca="1">IF($C117-P$1&lt;År1,0,O116*(1-VLOOKUP($A117,[1]Hugst!$R$5:$W$9,MATCH(ROUNDUP((P$1)/10,0)*10,[1]Hugst!$R$4:$W$4,0))))</f>
        <v>820.82949933942507</v>
      </c>
      <c r="Q117">
        <f ca="1">IF($C117-Q$1&lt;År1,0,P116*(1-VLOOKUP($A117,[1]Hugst!$R$5:$W$9,MATCH(ROUNDUP((Q$1)/10,0)*10,[1]Hugst!$R$4:$W$4,0))))</f>
        <v>819.96891158682774</v>
      </c>
      <c r="R117">
        <f ca="1">IF($C117-R$1&lt;År1,0,Q116*(1-VLOOKUP($A117,[1]Hugst!$R$5:$W$9,MATCH(ROUNDUP((R$1)/10,0)*10,[1]Hugst!$R$4:$W$4,0))))</f>
        <v>620.24948881360751</v>
      </c>
      <c r="S117">
        <f ca="1">IF($C117-S$1&lt;År1,0,R116*(1-VLOOKUP($A117,[1]Hugst!$R$5:$W$9,MATCH(ROUNDUP((S$1)/10,0)*10,[1]Hugst!$R$4:$W$4,0))))</f>
        <v>619.69998385250653</v>
      </c>
      <c r="T117">
        <f ca="1">IF($C117-T$1&lt;År1,0,S116*(1-VLOOKUP($A117,[1]Hugst!$R$5:$W$9,MATCH(ROUNDUP((T$1)/10,0)*10,[1]Hugst!$R$4:$W$4,0))))</f>
        <v>620.12053742879641</v>
      </c>
      <c r="U117">
        <f ca="1">IF($C117-U$1&lt;År1,0,T116*(1-VLOOKUP($A117,[1]Hugst!$R$5:$W$9,MATCH(ROUNDUP((U$1)/10,0)*10,[1]Hugst!$R$4:$W$4,0))))</f>
        <v>620.5452191108227</v>
      </c>
      <c r="V117">
        <f ca="1">IF($C117-V$1&lt;År1,0,U116*(1-VLOOKUP($A117,[1]Hugst!$R$5:$W$9,MATCH(ROUNDUP((V$1)/10,0)*10,[1]Hugst!$R$4:$W$4,0))))</f>
        <v>620.97403925721744</v>
      </c>
      <c r="W117">
        <f ca="1">IF($C117-W$1&lt;År1,0,V116*(1-VLOOKUP($A117,[1]Hugst!$R$5:$W$9,MATCH(ROUNDUP((W$1)/10,0)*10,[1]Hugst!$R$4:$W$4,0))))</f>
        <v>621.40700826890156</v>
      </c>
      <c r="X117">
        <f ca="1">IF($C117-X$1&lt;År1,0,W116*(1-VLOOKUP($A117,[1]Hugst!$R$5:$W$9,MATCH(ROUNDUP((X$1)/10,0)*10,[1]Hugst!$R$4:$W$4,0))))</f>
        <v>621.8441365893832</v>
      </c>
      <c r="Y117">
        <f ca="1">IF($C117-Y$1&lt;År1,0,X116*(1-VLOOKUP($A117,[1]Hugst!$R$5:$W$9,MATCH(ROUNDUP((Y$1)/10,0)*10,[1]Hugst!$R$4:$W$4,0))))</f>
        <v>622.28543470473733</v>
      </c>
      <c r="Z117">
        <f ca="1">IF($C117-Z$1&lt;År1,0,Y116*(1-VLOOKUP($A117,[1]Hugst!$R$5:$W$9,MATCH(ROUNDUP((Z$1)/10,0)*10,[1]Hugst!$R$4:$W$4,0))))</f>
        <v>622.59877706486589</v>
      </c>
      <c r="AA117">
        <f ca="1">IF($C117-AA$1&lt;År1,0,Z116*(1-VLOOKUP($A117,[1]Hugst!$R$5:$W$9,MATCH(ROUNDUP((AA$1)/10,0)*10,[1]Hugst!$R$4:$W$4,0))))</f>
        <v>622.91614754955265</v>
      </c>
      <c r="AB117">
        <f ca="1">IF($C117-AB$1&lt;År1,0,AA116*(1-VLOOKUP($A117,[1]Hugst!$R$5:$W$9,MATCH(ROUNDUP((AB$1)/10,0)*10,[1]Hugst!$R$4:$W$4,0))))</f>
        <v>623.23755415448056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14.711717554702773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819.42152884137533</v>
      </c>
      <c r="G118">
        <f ca="1">IF($C118-G$1&lt;År1,0,F117*(1-VLOOKUP($A118,[1]Hugst!$R$5:$W$9,MATCH(ROUNDUP((G$1)/10,0)*10,[1]Hugst!$R$4:$W$4,0))))</f>
        <v>819.34035760339532</v>
      </c>
      <c r="H118">
        <f ca="1">IF($C118-H$1&lt;År1,0,G117*(1-VLOOKUP($A118,[1]Hugst!$R$5:$W$9,MATCH(ROUNDUP((H$1)/10,0)*10,[1]Hugst!$R$4:$W$4,0))))</f>
        <v>819.26242897932218</v>
      </c>
      <c r="I118">
        <f ca="1">IF($C118-I$1&lt;År1,0,H117*(1-VLOOKUP($A118,[1]Hugst!$R$5:$W$9,MATCH(ROUNDUP((I$1)/10,0)*10,[1]Hugst!$R$4:$W$4,0))))</f>
        <v>819.1877632590614</v>
      </c>
      <c r="J118">
        <f ca="1">IF($C118-J$1&lt;År1,0,I117*(1-VLOOKUP($A118,[1]Hugst!$R$5:$W$9,MATCH(ROUNDUP((J$1)/10,0)*10,[1]Hugst!$R$4:$W$4,0))))</f>
        <v>819.42158874826066</v>
      </c>
      <c r="K118">
        <f ca="1">IF($C118-K$1&lt;År1,0,J117*(1-VLOOKUP($A118,[1]Hugst!$R$5:$W$9,MATCH(ROUNDUP((K$1)/10,0)*10,[1]Hugst!$R$4:$W$4,0))))</f>
        <v>819.79265230076555</v>
      </c>
      <c r="L118">
        <f ca="1">IF($C118-L$1&lt;År1,0,K117*(1-VLOOKUP($A118,[1]Hugst!$R$5:$W$9,MATCH(ROUNDUP((L$1)/10,0)*10,[1]Hugst!$R$4:$W$4,0))))</f>
        <v>820.16675824651168</v>
      </c>
      <c r="M118">
        <f ca="1">IF($C118-M$1&lt;År1,0,L117*(1-VLOOKUP($A118,[1]Hugst!$R$5:$W$9,MATCH(ROUNDUP((M$1)/10,0)*10,[1]Hugst!$R$4:$W$4,0))))</f>
        <v>820.54392367325011</v>
      </c>
      <c r="N118">
        <f ca="1">IF($C118-N$1&lt;År1,0,M117*(1-VLOOKUP($A118,[1]Hugst!$R$5:$W$9,MATCH(ROUNDUP((N$1)/10,0)*10,[1]Hugst!$R$4:$W$4,0))))</f>
        <v>820.9241657573258</v>
      </c>
      <c r="O118">
        <f ca="1">IF($C118-O$1&lt;År1,0,N117*(1-VLOOKUP($A118,[1]Hugst!$R$5:$W$9,MATCH(ROUNDUP((O$1)/10,0)*10,[1]Hugst!$R$4:$W$4,0))))</f>
        <v>821.30750176412187</v>
      </c>
      <c r="P118">
        <f ca="1">IF($C118-P$1&lt;År1,0,O117*(1-VLOOKUP($A118,[1]Hugst!$R$5:$W$9,MATCH(ROUNDUP((P$1)/10,0)*10,[1]Hugst!$R$4:$W$4,0))))</f>
        <v>820.44051760088405</v>
      </c>
      <c r="Q118">
        <f ca="1">IF($C118-Q$1&lt;År1,0,P117*(1-VLOOKUP($A118,[1]Hugst!$R$5:$W$9,MATCH(ROUNDUP((Q$1)/10,0)*10,[1]Hugst!$R$4:$W$4,0))))</f>
        <v>819.57738654382251</v>
      </c>
      <c r="R118">
        <f ca="1">IF($C118-R$1&lt;År1,0,Q117*(1-VLOOKUP($A118,[1]Hugst!$R$5:$W$9,MATCH(ROUNDUP((R$1)/10,0)*10,[1]Hugst!$R$4:$W$4,0))))</f>
        <v>818.71811155220371</v>
      </c>
      <c r="S118">
        <f ca="1">IF($C118-S$1&lt;År1,0,R117*(1-VLOOKUP($A118,[1]Hugst!$R$5:$W$9,MATCH(ROUNDUP((S$1)/10,0)*10,[1]Hugst!$R$4:$W$4,0))))</f>
        <v>619.30334552558679</v>
      </c>
      <c r="T118">
        <f ca="1">IF($C118-T$1&lt;År1,0,S117*(1-VLOOKUP($A118,[1]Hugst!$R$5:$W$9,MATCH(ROUNDUP((T$1)/10,0)*10,[1]Hugst!$R$4:$W$4,0))))</f>
        <v>618.7546787923925</v>
      </c>
      <c r="U118">
        <f ca="1">IF($C118-U$1&lt;År1,0,T117*(1-VLOOKUP($A118,[1]Hugst!$R$5:$W$9,MATCH(ROUNDUP((U$1)/10,0)*10,[1]Hugst!$R$4:$W$4,0))))</f>
        <v>619.17459084627785</v>
      </c>
      <c r="V118">
        <f ca="1">IF($C118-V$1&lt;År1,0,U117*(1-VLOOKUP($A118,[1]Hugst!$R$5:$W$9,MATCH(ROUNDUP((V$1)/10,0)*10,[1]Hugst!$R$4:$W$4,0))))</f>
        <v>619.5986247087892</v>
      </c>
      <c r="W118">
        <f ca="1">IF($C118-W$1&lt;År1,0,V117*(1-VLOOKUP($A118,[1]Hugst!$R$5:$W$9,MATCH(ROUNDUP((W$1)/10,0)*10,[1]Hugst!$R$4:$W$4,0))))</f>
        <v>620.02679072275726</v>
      </c>
      <c r="X118">
        <f ca="1">IF($C118-X$1&lt;År1,0,W117*(1-VLOOKUP($A118,[1]Hugst!$R$5:$W$9,MATCH(ROUNDUP((X$1)/10,0)*10,[1]Hugst!$R$4:$W$4,0))))</f>
        <v>620.45909927323714</v>
      </c>
      <c r="Y118">
        <f ca="1">IF($C118-Y$1&lt;År1,0,X117*(1-VLOOKUP($A118,[1]Hugst!$R$5:$W$9,MATCH(ROUNDUP((Y$1)/10,0)*10,[1]Hugst!$R$4:$W$4,0))))</f>
        <v>620.89556078780618</v>
      </c>
      <c r="Z118">
        <f ca="1">IF($C118-Z$1&lt;År1,0,Y117*(1-VLOOKUP($A118,[1]Hugst!$R$5:$W$9,MATCH(ROUNDUP((Z$1)/10,0)*10,[1]Hugst!$R$4:$W$4,0))))</f>
        <v>621.20434560207229</v>
      </c>
      <c r="AA118">
        <f ca="1">IF($C118-AA$1&lt;År1,0,Z117*(1-VLOOKUP($A118,[1]Hugst!$R$5:$W$9,MATCH(ROUNDUP((AA$1)/10,0)*10,[1]Hugst!$R$4:$W$4,0))))</f>
        <v>621.51714359623622</v>
      </c>
      <c r="AB118">
        <f ca="1">IF($C118-AB$1&lt;År1,0,AA117*(1-VLOOKUP($A118,[1]Hugst!$R$5:$W$9,MATCH(ROUNDUP((AB$1)/10,0)*10,[1]Hugst!$R$4:$W$4,0))))</f>
        <v>621.83396271694539</v>
      </c>
      <c r="AC118">
        <f ca="1">IF($C118-AC$1&lt;År1,0,AB117*(1-VLOOKUP($A118,[1]Hugst!$R$5:$W$9,MATCH(ROUNDUP((AC$1)/10,0)*10,[1]Hugst!$R$4:$W$4,0))))</f>
        <v>622.15481094599181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16.072746698031551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819.50592250851162</v>
      </c>
      <c r="G119">
        <f ca="1">IF($C119-G$1&lt;År1,0,F118*(1-VLOOKUP($A119,[1]Hugst!$R$5:$W$9,MATCH(ROUNDUP((G$1)/10,0)*10,[1]Hugst!$R$4:$W$4,0))))</f>
        <v>819.42152884137533</v>
      </c>
      <c r="H119">
        <f ca="1">IF($C119-H$1&lt;År1,0,G118*(1-VLOOKUP($A119,[1]Hugst!$R$5:$W$9,MATCH(ROUNDUP((H$1)/10,0)*10,[1]Hugst!$R$4:$W$4,0))))</f>
        <v>819.34035760339532</v>
      </c>
      <c r="I119">
        <f ca="1">IF($C119-I$1&lt;År1,0,H118*(1-VLOOKUP($A119,[1]Hugst!$R$5:$W$9,MATCH(ROUNDUP((I$1)/10,0)*10,[1]Hugst!$R$4:$W$4,0))))</f>
        <v>819.26242897932218</v>
      </c>
      <c r="J119">
        <f ca="1">IF($C119-J$1&lt;År1,0,I118*(1-VLOOKUP($A119,[1]Hugst!$R$5:$W$9,MATCH(ROUNDUP((J$1)/10,0)*10,[1]Hugst!$R$4:$W$4,0))))</f>
        <v>819.1877632590614</v>
      </c>
      <c r="K119">
        <f ca="1">IF($C119-K$1&lt;År1,0,J118*(1-VLOOKUP($A119,[1]Hugst!$R$5:$W$9,MATCH(ROUNDUP((K$1)/10,0)*10,[1]Hugst!$R$4:$W$4,0))))</f>
        <v>819.42158874826066</v>
      </c>
      <c r="L119">
        <f ca="1">IF($C119-L$1&lt;År1,0,K118*(1-VLOOKUP($A119,[1]Hugst!$R$5:$W$9,MATCH(ROUNDUP((L$1)/10,0)*10,[1]Hugst!$R$4:$W$4,0))))</f>
        <v>819.79265230076555</v>
      </c>
      <c r="M119">
        <f ca="1">IF($C119-M$1&lt;År1,0,L118*(1-VLOOKUP($A119,[1]Hugst!$R$5:$W$9,MATCH(ROUNDUP((M$1)/10,0)*10,[1]Hugst!$R$4:$W$4,0))))</f>
        <v>820.16675824651168</v>
      </c>
      <c r="N119">
        <f ca="1">IF($C119-N$1&lt;År1,0,M118*(1-VLOOKUP($A119,[1]Hugst!$R$5:$W$9,MATCH(ROUNDUP((N$1)/10,0)*10,[1]Hugst!$R$4:$W$4,0))))</f>
        <v>820.54392367325011</v>
      </c>
      <c r="O119">
        <f ca="1">IF($C119-O$1&lt;År1,0,N118*(1-VLOOKUP($A119,[1]Hugst!$R$5:$W$9,MATCH(ROUNDUP((O$1)/10,0)*10,[1]Hugst!$R$4:$W$4,0))))</f>
        <v>820.9241657573258</v>
      </c>
      <c r="P119">
        <f ca="1">IF($C119-P$1&lt;År1,0,O118*(1-VLOOKUP($A119,[1]Hugst!$R$5:$W$9,MATCH(ROUNDUP((P$1)/10,0)*10,[1]Hugst!$R$4:$W$4,0))))</f>
        <v>820.05465981227826</v>
      </c>
      <c r="Q119">
        <f ca="1">IF($C119-Q$1&lt;År1,0,P118*(1-VLOOKUP($A119,[1]Hugst!$R$5:$W$9,MATCH(ROUNDUP((Q$1)/10,0)*10,[1]Hugst!$R$4:$W$4,0))))</f>
        <v>819.18899816725559</v>
      </c>
      <c r="R119">
        <f ca="1">IF($C119-R$1&lt;År1,0,Q118*(1-VLOOKUP($A119,[1]Hugst!$R$5:$W$9,MATCH(ROUNDUP((R$1)/10,0)*10,[1]Hugst!$R$4:$W$4,0))))</f>
        <v>818.32718375078957</v>
      </c>
      <c r="S119">
        <f ca="1">IF($C119-S$1&lt;År1,0,R118*(1-VLOOKUP($A119,[1]Hugst!$R$5:$W$9,MATCH(ROUNDUP((S$1)/10,0)*10,[1]Hugst!$R$4:$W$4,0))))</f>
        <v>817.4692195176325</v>
      </c>
      <c r="T119">
        <f ca="1">IF($C119-T$1&lt;År1,0,S118*(1-VLOOKUP($A119,[1]Hugst!$R$5:$W$9,MATCH(ROUNDUP((T$1)/10,0)*10,[1]Hugst!$R$4:$W$4,0))))</f>
        <v>618.35864550698841</v>
      </c>
      <c r="U119">
        <f ca="1">IF($C119-U$1&lt;År1,0,T118*(1-VLOOKUP($A119,[1]Hugst!$R$5:$W$9,MATCH(ROUNDUP((U$1)/10,0)*10,[1]Hugst!$R$4:$W$4,0))))</f>
        <v>617.81081572304811</v>
      </c>
      <c r="V119">
        <f ca="1">IF($C119-V$1&lt;År1,0,U118*(1-VLOOKUP($A119,[1]Hugst!$R$5:$W$9,MATCH(ROUNDUP((V$1)/10,0)*10,[1]Hugst!$R$4:$W$4,0))))</f>
        <v>618.2300872331225</v>
      </c>
      <c r="W119">
        <f ca="1">IF($C119-W$1&lt;År1,0,V118*(1-VLOOKUP($A119,[1]Hugst!$R$5:$W$9,MATCH(ROUNDUP((W$1)/10,0)*10,[1]Hugst!$R$4:$W$4,0))))</f>
        <v>618.65347426431811</v>
      </c>
      <c r="X119">
        <f ca="1">IF($C119-X$1&lt;År1,0,W118*(1-VLOOKUP($A119,[1]Hugst!$R$5:$W$9,MATCH(ROUNDUP((X$1)/10,0)*10,[1]Hugst!$R$4:$W$4,0))))</f>
        <v>619.08098714368862</v>
      </c>
      <c r="Y119">
        <f ca="1">IF($C119-Y$1&lt;År1,0,X118*(1-VLOOKUP($A119,[1]Hugst!$R$5:$W$9,MATCH(ROUNDUP((Y$1)/10,0)*10,[1]Hugst!$R$4:$W$4,0))))</f>
        <v>619.51263624044748</v>
      </c>
      <c r="Z119">
        <f ca="1">IF($C119-Z$1&lt;År1,0,Y118*(1-VLOOKUP($A119,[1]Hugst!$R$5:$W$9,MATCH(ROUNDUP((Z$1)/10,0)*10,[1]Hugst!$R$4:$W$4,0))))</f>
        <v>619.81688629660698</v>
      </c>
      <c r="AA119">
        <f ca="1">IF($C119-AA$1&lt;År1,0,Z118*(1-VLOOKUP($A119,[1]Hugst!$R$5:$W$9,MATCH(ROUNDUP((AA$1)/10,0)*10,[1]Hugst!$R$4:$W$4,0))))</f>
        <v>620.12513466267887</v>
      </c>
      <c r="AB119">
        <f ca="1">IF($C119-AB$1&lt;År1,0,AA118*(1-VLOOKUP($A119,[1]Hugst!$R$5:$W$9,MATCH(ROUNDUP((AB$1)/10,0)*10,[1]Hugst!$R$4:$W$4,0))))</f>
        <v>620.43738923659862</v>
      </c>
      <c r="AC119">
        <f ca="1">IF($C119-AC$1&lt;År1,0,AB118*(1-VLOOKUP($A119,[1]Hugst!$R$5:$W$9,MATCH(ROUNDUP((AC$1)/10,0)*10,[1]Hugst!$R$4:$W$4,0))))</f>
        <v>620.75365795120831</v>
      </c>
      <c r="AD119">
        <f ca="1">IF($C119-AD$1&lt;År1,0,AC118*(1-VLOOKUP($A119,[1]Hugst!$R$5:$W$9,MATCH(ROUNDUP((AD$1)/10,0)*10,[1]Hugst!$R$4:$W$4,0))))</f>
        <v>621.07394877443312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17.430595013025595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819.59351852470365</v>
      </c>
      <c r="G120">
        <f ca="1">IF($C120-G$1&lt;År1,0,F119*(1-VLOOKUP($A120,[1]Hugst!$R$5:$W$9,MATCH(ROUNDUP((G$1)/10,0)*10,[1]Hugst!$R$4:$W$4,0))))</f>
        <v>819.50592250851162</v>
      </c>
      <c r="H120">
        <f ca="1">IF($C120-H$1&lt;År1,0,G119*(1-VLOOKUP($A120,[1]Hugst!$R$5:$W$9,MATCH(ROUNDUP((H$1)/10,0)*10,[1]Hugst!$R$4:$W$4,0))))</f>
        <v>819.42152884137533</v>
      </c>
      <c r="I120">
        <f ca="1">IF($C120-I$1&lt;År1,0,H119*(1-VLOOKUP($A120,[1]Hugst!$R$5:$W$9,MATCH(ROUNDUP((I$1)/10,0)*10,[1]Hugst!$R$4:$W$4,0))))</f>
        <v>819.34035760339532</v>
      </c>
      <c r="J120">
        <f ca="1">IF($C120-J$1&lt;År1,0,I119*(1-VLOOKUP($A120,[1]Hugst!$R$5:$W$9,MATCH(ROUNDUP((J$1)/10,0)*10,[1]Hugst!$R$4:$W$4,0))))</f>
        <v>819.26242897932218</v>
      </c>
      <c r="K120">
        <f ca="1">IF($C120-K$1&lt;År1,0,J119*(1-VLOOKUP($A120,[1]Hugst!$R$5:$W$9,MATCH(ROUNDUP((K$1)/10,0)*10,[1]Hugst!$R$4:$W$4,0))))</f>
        <v>819.1877632590614</v>
      </c>
      <c r="L120">
        <f ca="1">IF($C120-L$1&lt;År1,0,K119*(1-VLOOKUP($A120,[1]Hugst!$R$5:$W$9,MATCH(ROUNDUP((L$1)/10,0)*10,[1]Hugst!$R$4:$W$4,0))))</f>
        <v>819.42158874826066</v>
      </c>
      <c r="M120">
        <f ca="1">IF($C120-M$1&lt;År1,0,L119*(1-VLOOKUP($A120,[1]Hugst!$R$5:$W$9,MATCH(ROUNDUP((M$1)/10,0)*10,[1]Hugst!$R$4:$W$4,0))))</f>
        <v>819.79265230076555</v>
      </c>
      <c r="N120">
        <f ca="1">IF($C120-N$1&lt;År1,0,M119*(1-VLOOKUP($A120,[1]Hugst!$R$5:$W$9,MATCH(ROUNDUP((N$1)/10,0)*10,[1]Hugst!$R$4:$W$4,0))))</f>
        <v>820.16675824651168</v>
      </c>
      <c r="O120">
        <f ca="1">IF($C120-O$1&lt;År1,0,N119*(1-VLOOKUP($A120,[1]Hugst!$R$5:$W$9,MATCH(ROUNDUP((O$1)/10,0)*10,[1]Hugst!$R$4:$W$4,0))))</f>
        <v>820.54392367325011</v>
      </c>
      <c r="P120">
        <f ca="1">IF($C120-P$1&lt;År1,0,O119*(1-VLOOKUP($A120,[1]Hugst!$R$5:$W$9,MATCH(ROUNDUP((P$1)/10,0)*10,[1]Hugst!$R$4:$W$4,0))))</f>
        <v>819.67190855532306</v>
      </c>
      <c r="Q120">
        <f ca="1">IF($C120-Q$1&lt;År1,0,P119*(1-VLOOKUP($A120,[1]Hugst!$R$5:$W$9,MATCH(ROUNDUP((Q$1)/10,0)*10,[1]Hugst!$R$4:$W$4,0))))</f>
        <v>818.8037289752765</v>
      </c>
      <c r="R120">
        <f ca="1">IF($C120-R$1&lt;År1,0,Q119*(1-VLOOKUP($A120,[1]Hugst!$R$5:$W$9,MATCH(ROUNDUP((R$1)/10,0)*10,[1]Hugst!$R$4:$W$4,0))))</f>
        <v>817.93938783106819</v>
      </c>
      <c r="S120">
        <f ca="1">IF($C120-S$1&lt;År1,0,R119*(1-VLOOKUP($A120,[1]Hugst!$R$5:$W$9,MATCH(ROUNDUP((S$1)/10,0)*10,[1]Hugst!$R$4:$W$4,0))))</f>
        <v>817.07888804676293</v>
      </c>
      <c r="T120">
        <f ca="1">IF($C120-T$1&lt;År1,0,S119*(1-VLOOKUP($A120,[1]Hugst!$R$5:$W$9,MATCH(ROUNDUP((T$1)/10,0)*10,[1]Hugst!$R$4:$W$4,0))))</f>
        <v>816.22223257260555</v>
      </c>
      <c r="U120">
        <f ca="1">IF($C120-U$1&lt;År1,0,T119*(1-VLOOKUP($A120,[1]Hugst!$R$5:$W$9,MATCH(ROUNDUP((U$1)/10,0)*10,[1]Hugst!$R$4:$W$4,0))))</f>
        <v>617.41538655621503</v>
      </c>
      <c r="V120">
        <f ca="1">IF($C120-V$1&lt;År1,0,U119*(1-VLOOKUP($A120,[1]Hugst!$R$5:$W$9,MATCH(ROUNDUP((V$1)/10,0)*10,[1]Hugst!$R$4:$W$4,0))))</f>
        <v>616.86839244482644</v>
      </c>
      <c r="W120">
        <f ca="1">IF($C120-W$1&lt;År1,0,V119*(1-VLOOKUP($A120,[1]Hugst!$R$5:$W$9,MATCH(ROUNDUP((W$1)/10,0)*10,[1]Hugst!$R$4:$W$4,0))))</f>
        <v>617.28702438819062</v>
      </c>
      <c r="X120">
        <f ca="1">IF($C120-X$1&lt;År1,0,W119*(1-VLOOKUP($A120,[1]Hugst!$R$5:$W$9,MATCH(ROUNDUP((X$1)/10,0)*10,[1]Hugst!$R$4:$W$4,0))))</f>
        <v>617.7097655747624</v>
      </c>
      <c r="Y120">
        <f ca="1">IF($C120-Y$1&lt;År1,0,X119*(1-VLOOKUP($A120,[1]Hugst!$R$5:$W$9,MATCH(ROUNDUP((Y$1)/10,0)*10,[1]Hugst!$R$4:$W$4,0))))</f>
        <v>618.13662631584225</v>
      </c>
      <c r="Z120">
        <f ca="1">IF($C120-Z$1&lt;År1,0,Y119*(1-VLOOKUP($A120,[1]Hugst!$R$5:$W$9,MATCH(ROUNDUP((Z$1)/10,0)*10,[1]Hugst!$R$4:$W$4,0))))</f>
        <v>618.43636428765683</v>
      </c>
      <c r="AA120">
        <f ca="1">IF($C120-AA$1&lt;År1,0,Z119*(1-VLOOKUP($A120,[1]Hugst!$R$5:$W$9,MATCH(ROUNDUP((AA$1)/10,0)*10,[1]Hugst!$R$4:$W$4,0))))</f>
        <v>618.74008577380357</v>
      </c>
      <c r="AB120">
        <f ca="1">IF($C120-AB$1&lt;År1,0,AA119*(1-VLOOKUP($A120,[1]Hugst!$R$5:$W$9,MATCH(ROUNDUP((AB$1)/10,0)*10,[1]Hugst!$R$4:$W$4,0))))</f>
        <v>619.04779862364626</v>
      </c>
      <c r="AC120">
        <f ca="1">IF($C120-AC$1&lt;År1,0,AB119*(1-VLOOKUP($A120,[1]Hugst!$R$5:$W$9,MATCH(ROUNDUP((AC$1)/10,0)*10,[1]Hugst!$R$4:$W$4,0))))</f>
        <v>619.35951072139937</v>
      </c>
      <c r="AD120">
        <f ca="1">IF($C120-AD$1&lt;År1,0,AC119*(1-VLOOKUP($A120,[1]Hugst!$R$5:$W$9,MATCH(ROUNDUP((AD$1)/10,0)*10,[1]Hugst!$R$4:$W$4,0))))</f>
        <v>619.67522998612355</v>
      </c>
      <c r="AE120">
        <f ca="1">IF($C120-AE$1&lt;År1,0,AD119*(1-VLOOKUP($A120,[1]Hugst!$R$5:$W$9,MATCH(ROUNDUP((AE$1)/10,0)*10,[1]Hugst!$R$4:$W$4,0))))</f>
        <v>619.99496437190123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18.785274439553177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819.68429691392532</v>
      </c>
      <c r="G121">
        <f ca="1">IF($C121-G$1&lt;År1,0,F120*(1-VLOOKUP($A121,[1]Hugst!$R$5:$W$9,MATCH(ROUNDUP((G$1)/10,0)*10,[1]Hugst!$R$4:$W$4,0))))</f>
        <v>819.59351852470365</v>
      </c>
      <c r="H121">
        <f ca="1">IF($C121-H$1&lt;År1,0,G120*(1-VLOOKUP($A121,[1]Hugst!$R$5:$W$9,MATCH(ROUNDUP((H$1)/10,0)*10,[1]Hugst!$R$4:$W$4,0))))</f>
        <v>819.50592250851162</v>
      </c>
      <c r="I121">
        <f ca="1">IF($C121-I$1&lt;År1,0,H120*(1-VLOOKUP($A121,[1]Hugst!$R$5:$W$9,MATCH(ROUNDUP((I$1)/10,0)*10,[1]Hugst!$R$4:$W$4,0))))</f>
        <v>819.42152884137533</v>
      </c>
      <c r="J121">
        <f ca="1">IF($C121-J$1&lt;År1,0,I120*(1-VLOOKUP($A121,[1]Hugst!$R$5:$W$9,MATCH(ROUNDUP((J$1)/10,0)*10,[1]Hugst!$R$4:$W$4,0))))</f>
        <v>819.34035760339532</v>
      </c>
      <c r="K121">
        <f ca="1">IF($C121-K$1&lt;År1,0,J120*(1-VLOOKUP($A121,[1]Hugst!$R$5:$W$9,MATCH(ROUNDUP((K$1)/10,0)*10,[1]Hugst!$R$4:$W$4,0))))</f>
        <v>819.26242897932218</v>
      </c>
      <c r="L121">
        <f ca="1">IF($C121-L$1&lt;År1,0,K120*(1-VLOOKUP($A121,[1]Hugst!$R$5:$W$9,MATCH(ROUNDUP((L$1)/10,0)*10,[1]Hugst!$R$4:$W$4,0))))</f>
        <v>819.1877632590614</v>
      </c>
      <c r="M121">
        <f ca="1">IF($C121-M$1&lt;År1,0,L120*(1-VLOOKUP($A121,[1]Hugst!$R$5:$W$9,MATCH(ROUNDUP((M$1)/10,0)*10,[1]Hugst!$R$4:$W$4,0))))</f>
        <v>819.42158874826066</v>
      </c>
      <c r="N121">
        <f ca="1">IF($C121-N$1&lt;År1,0,M120*(1-VLOOKUP($A121,[1]Hugst!$R$5:$W$9,MATCH(ROUNDUP((N$1)/10,0)*10,[1]Hugst!$R$4:$W$4,0))))</f>
        <v>819.79265230076555</v>
      </c>
      <c r="O121">
        <f ca="1">IF($C121-O$1&lt;År1,0,N120*(1-VLOOKUP($A121,[1]Hugst!$R$5:$W$9,MATCH(ROUNDUP((O$1)/10,0)*10,[1]Hugst!$R$4:$W$4,0))))</f>
        <v>820.16675824651168</v>
      </c>
      <c r="P121">
        <f ca="1">IF($C121-P$1&lt;År1,0,O120*(1-VLOOKUP($A121,[1]Hugst!$R$5:$W$9,MATCH(ROUNDUP((P$1)/10,0)*10,[1]Hugst!$R$4:$W$4,0))))</f>
        <v>819.29224650154515</v>
      </c>
      <c r="Q121">
        <f ca="1">IF($C121-Q$1&lt;År1,0,P120*(1-VLOOKUP($A121,[1]Hugst!$R$5:$W$9,MATCH(ROUNDUP((Q$1)/10,0)*10,[1]Hugst!$R$4:$W$4,0))))</f>
        <v>818.4215615761708</v>
      </c>
      <c r="R121">
        <f ca="1">IF($C121-R$1&lt;År1,0,Q120*(1-VLOOKUP($A121,[1]Hugst!$R$5:$W$9,MATCH(ROUNDUP((R$1)/10,0)*10,[1]Hugst!$R$4:$W$4,0))))</f>
        <v>817.5547063378566</v>
      </c>
      <c r="S121">
        <f ca="1">IF($C121-S$1&lt;År1,0,R120*(1-VLOOKUP($A121,[1]Hugst!$R$5:$W$9,MATCH(ROUNDUP((S$1)/10,0)*10,[1]Hugst!$R$4:$W$4,0))))</f>
        <v>816.69168368013936</v>
      </c>
      <c r="T121">
        <f ca="1">IF($C121-T$1&lt;År1,0,S120*(1-VLOOKUP($A121,[1]Hugst!$R$5:$W$9,MATCH(ROUNDUP((T$1)/10,0)*10,[1]Hugst!$R$4:$W$4,0))))</f>
        <v>815.83249652262373</v>
      </c>
      <c r="U121">
        <f ca="1">IF($C121-U$1&lt;År1,0,T120*(1-VLOOKUP($A121,[1]Hugst!$R$5:$W$9,MATCH(ROUNDUP((U$1)/10,0)*10,[1]Hugst!$R$4:$W$4,0))))</f>
        <v>814.97714781105412</v>
      </c>
      <c r="V121">
        <f ca="1">IF($C121-V$1&lt;År1,0,U120*(1-VLOOKUP($A121,[1]Hugst!$R$5:$W$9,MATCH(ROUNDUP((V$1)/10,0)*10,[1]Hugst!$R$4:$W$4,0))))</f>
        <v>616.47356647502761</v>
      </c>
      <c r="W121">
        <f ca="1">IF($C121-W$1&lt;År1,0,V120*(1-VLOOKUP($A121,[1]Hugst!$R$5:$W$9,MATCH(ROUNDUP((W$1)/10,0)*10,[1]Hugst!$R$4:$W$4,0))))</f>
        <v>615.92740676143603</v>
      </c>
      <c r="X121">
        <f ca="1">IF($C121-X$1&lt;År1,0,W120*(1-VLOOKUP($A121,[1]Hugst!$R$5:$W$9,MATCH(ROUNDUP((X$1)/10,0)*10,[1]Hugst!$R$4:$W$4,0))))</f>
        <v>616.34540011370018</v>
      </c>
      <c r="Y121">
        <f ca="1">IF($C121-Y$1&lt;År1,0,X120*(1-VLOOKUP($A121,[1]Hugst!$R$5:$W$9,MATCH(ROUNDUP((Y$1)/10,0)*10,[1]Hugst!$R$4:$W$4,0))))</f>
        <v>616.76749644083475</v>
      </c>
      <c r="Z121">
        <f ca="1">IF($C121-Z$1&lt;År1,0,Y120*(1-VLOOKUP($A121,[1]Hugst!$R$5:$W$9,MATCH(ROUNDUP((Z$1)/10,0)*10,[1]Hugst!$R$4:$W$4,0))))</f>
        <v>617.06274488876807</v>
      </c>
      <c r="AA121">
        <f ca="1">IF($C121-AA$1&lt;År1,0,Z120*(1-VLOOKUP($A121,[1]Hugst!$R$5:$W$9,MATCH(ROUNDUP((AA$1)/10,0)*10,[1]Hugst!$R$4:$W$4,0))))</f>
        <v>617.36196212936045</v>
      </c>
      <c r="AB121">
        <f ca="1">IF($C121-AB$1&lt;År1,0,AA120*(1-VLOOKUP($A121,[1]Hugst!$R$5:$W$9,MATCH(ROUNDUP((AB$1)/10,0)*10,[1]Hugst!$R$4:$W$4,0))))</f>
        <v>617.6651559637728</v>
      </c>
      <c r="AC121">
        <f ca="1">IF($C121-AC$1&lt;År1,0,AB120*(1-VLOOKUP($A121,[1]Hugst!$R$5:$W$9,MATCH(ROUNDUP((AC$1)/10,0)*10,[1]Hugst!$R$4:$W$4,0))))</f>
        <v>617.97233422773229</v>
      </c>
      <c r="AD121">
        <f ca="1">IF($C121-AD$1&lt;År1,0,AC120*(1-VLOOKUP($A121,[1]Hugst!$R$5:$W$9,MATCH(ROUNDUP((AD$1)/10,0)*10,[1]Hugst!$R$4:$W$4,0))))</f>
        <v>618.28350479175629</v>
      </c>
      <c r="AE121">
        <f ca="1">IF($C121-AE$1&lt;År1,0,AD120*(1-VLOOKUP($A121,[1]Hugst!$R$5:$W$9,MATCH(ROUNDUP((AE$1)/10,0)*10,[1]Hugst!$R$4:$W$4,0))))</f>
        <v>618.59867556114762</v>
      </c>
      <c r="AF121">
        <f ca="1">IF($C121-AF$1&lt;År1,0,AE120*(1-VLOOKUP($A121,[1]Hugst!$R$5:$W$9,MATCH(ROUNDUP((AF$1)/10,0)*10,[1]Hugst!$R$4:$W$4,0))))</f>
        <v>618.91785447617031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20.136796861555922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819.77823780378742</v>
      </c>
      <c r="G122">
        <f ca="1">IF($C122-G$1&lt;År1,0,F121*(1-VLOOKUP($A122,[1]Hugst!$R$5:$W$9,MATCH(ROUNDUP((G$1)/10,0)*10,[1]Hugst!$R$4:$W$4,0))))</f>
        <v>819.68429691392532</v>
      </c>
      <c r="H122">
        <f ca="1">IF($C122-H$1&lt;År1,0,G121*(1-VLOOKUP($A122,[1]Hugst!$R$5:$W$9,MATCH(ROUNDUP((H$1)/10,0)*10,[1]Hugst!$R$4:$W$4,0))))</f>
        <v>819.59351852470365</v>
      </c>
      <c r="I122">
        <f ca="1">IF($C122-I$1&lt;År1,0,H121*(1-VLOOKUP($A122,[1]Hugst!$R$5:$W$9,MATCH(ROUNDUP((I$1)/10,0)*10,[1]Hugst!$R$4:$W$4,0))))</f>
        <v>819.50592250851162</v>
      </c>
      <c r="J122">
        <f ca="1">IF($C122-J$1&lt;År1,0,I121*(1-VLOOKUP($A122,[1]Hugst!$R$5:$W$9,MATCH(ROUNDUP((J$1)/10,0)*10,[1]Hugst!$R$4:$W$4,0))))</f>
        <v>819.42152884137533</v>
      </c>
      <c r="K122">
        <f ca="1">IF($C122-K$1&lt;År1,0,J121*(1-VLOOKUP($A122,[1]Hugst!$R$5:$W$9,MATCH(ROUNDUP((K$1)/10,0)*10,[1]Hugst!$R$4:$W$4,0))))</f>
        <v>819.34035760339532</v>
      </c>
      <c r="L122">
        <f ca="1">IF($C122-L$1&lt;År1,0,K121*(1-VLOOKUP($A122,[1]Hugst!$R$5:$W$9,MATCH(ROUNDUP((L$1)/10,0)*10,[1]Hugst!$R$4:$W$4,0))))</f>
        <v>819.26242897932218</v>
      </c>
      <c r="M122">
        <f ca="1">IF($C122-M$1&lt;År1,0,L121*(1-VLOOKUP($A122,[1]Hugst!$R$5:$W$9,MATCH(ROUNDUP((M$1)/10,0)*10,[1]Hugst!$R$4:$W$4,0))))</f>
        <v>819.1877632590614</v>
      </c>
      <c r="N122">
        <f ca="1">IF($C122-N$1&lt;År1,0,M121*(1-VLOOKUP($A122,[1]Hugst!$R$5:$W$9,MATCH(ROUNDUP((N$1)/10,0)*10,[1]Hugst!$R$4:$W$4,0))))</f>
        <v>819.42158874826066</v>
      </c>
      <c r="O122">
        <f ca="1">IF($C122-O$1&lt;År1,0,N121*(1-VLOOKUP($A122,[1]Hugst!$R$5:$W$9,MATCH(ROUNDUP((O$1)/10,0)*10,[1]Hugst!$R$4:$W$4,0))))</f>
        <v>819.79265230076555</v>
      </c>
      <c r="P122">
        <f ca="1">IF($C122-P$1&lt;År1,0,O121*(1-VLOOKUP($A122,[1]Hugst!$R$5:$W$9,MATCH(ROUNDUP((P$1)/10,0)*10,[1]Hugst!$R$4:$W$4,0))))</f>
        <v>818.91565641189834</v>
      </c>
      <c r="Q122">
        <f ca="1">IF($C122-Q$1&lt;År1,0,P121*(1-VLOOKUP($A122,[1]Hugst!$R$5:$W$9,MATCH(ROUNDUP((Q$1)/10,0)*10,[1]Hugst!$R$4:$W$4,0))))</f>
        <v>818.04247866789865</v>
      </c>
      <c r="R122">
        <f ca="1">IF($C122-R$1&lt;År1,0,Q121*(1-VLOOKUP($A122,[1]Hugst!$R$5:$W$9,MATCH(ROUNDUP((R$1)/10,0)*10,[1]Hugst!$R$4:$W$4,0))))</f>
        <v>817.17312190596988</v>
      </c>
      <c r="S122">
        <f ca="1">IF($C122-S$1&lt;År1,0,R121*(1-VLOOKUP($A122,[1]Hugst!$R$5:$W$9,MATCH(ROUNDUP((S$1)/10,0)*10,[1]Hugst!$R$4:$W$4,0))))</f>
        <v>816.30758898920556</v>
      </c>
      <c r="T122">
        <f ca="1">IF($C122-T$1&lt;År1,0,S121*(1-VLOOKUP($A122,[1]Hugst!$R$5:$W$9,MATCH(ROUNDUP((T$1)/10,0)*10,[1]Hugst!$R$4:$W$4,0))))</f>
        <v>815.44588280672895</v>
      </c>
      <c r="U122">
        <f ca="1">IF($C122-U$1&lt;År1,0,T121*(1-VLOOKUP($A122,[1]Hugst!$R$5:$W$9,MATCH(ROUNDUP((U$1)/10,0)*10,[1]Hugst!$R$4:$W$4,0))))</f>
        <v>814.58800627369089</v>
      </c>
      <c r="V122">
        <f ca="1">IF($C122-V$1&lt;År1,0,U121*(1-VLOOKUP($A122,[1]Hugst!$R$5:$W$9,MATCH(ROUNDUP((V$1)/10,0)*10,[1]Hugst!$R$4:$W$4,0))))</f>
        <v>813.73396233134235</v>
      </c>
      <c r="W122">
        <f ca="1">IF($C122-W$1&lt;År1,0,V121*(1-VLOOKUP($A122,[1]Hugst!$R$5:$W$9,MATCH(ROUNDUP((W$1)/10,0)*10,[1]Hugst!$R$4:$W$4,0))))</f>
        <v>615.53318306854021</v>
      </c>
      <c r="X122">
        <f ca="1">IF($C122-X$1&lt;År1,0,W121*(1-VLOOKUP($A122,[1]Hugst!$R$5:$W$9,MATCH(ROUNDUP((X$1)/10,0)*10,[1]Hugst!$R$4:$W$4,0))))</f>
        <v>614.98785647993554</v>
      </c>
      <c r="Y122">
        <f ca="1">IF($C122-Y$1&lt;År1,0,X121*(1-VLOOKUP($A122,[1]Hugst!$R$5:$W$9,MATCH(ROUNDUP((Y$1)/10,0)*10,[1]Hugst!$R$4:$W$4,0))))</f>
        <v>615.40521221522158</v>
      </c>
      <c r="Z122">
        <f ca="1">IF($C122-Z$1&lt;År1,0,Y121*(1-VLOOKUP($A122,[1]Hugst!$R$5:$W$9,MATCH(ROUNDUP((Z$1)/10,0)*10,[1]Hugst!$R$4:$W$4,0))))</f>
        <v>615.69599358684854</v>
      </c>
      <c r="AA122">
        <f ca="1">IF($C122-AA$1&lt;År1,0,Z121*(1-VLOOKUP($A122,[1]Hugst!$R$5:$W$9,MATCH(ROUNDUP((AA$1)/10,0)*10,[1]Hugst!$R$4:$W$4,0))))</f>
        <v>615.99072910315624</v>
      </c>
      <c r="AB122">
        <f ca="1">IF($C122-AB$1&lt;År1,0,AA121*(1-VLOOKUP($A122,[1]Hugst!$R$5:$W$9,MATCH(ROUNDUP((AB$1)/10,0)*10,[1]Hugst!$R$4:$W$4,0))))</f>
        <v>616.28942651718648</v>
      </c>
      <c r="AC122">
        <f ca="1">IF($C122-AC$1&lt;År1,0,AB121*(1-VLOOKUP($A122,[1]Hugst!$R$5:$W$9,MATCH(ROUNDUP((AC$1)/10,0)*10,[1]Hugst!$R$4:$W$4,0))))</f>
        <v>616.59209361654757</v>
      </c>
      <c r="AD122">
        <f ca="1">IF($C122-AD$1&lt;År1,0,AC121*(1-VLOOKUP($A122,[1]Hugst!$R$5:$W$9,MATCH(ROUNDUP((AD$1)/10,0)*10,[1]Hugst!$R$4:$W$4,0))))</f>
        <v>616.89873822335358</v>
      </c>
      <c r="AE122">
        <f ca="1">IF($C122-AE$1&lt;År1,0,AD121*(1-VLOOKUP($A122,[1]Hugst!$R$5:$W$9,MATCH(ROUNDUP((AE$1)/10,0)*10,[1]Hugst!$R$4:$W$4,0))))</f>
        <v>617.20936819444853</v>
      </c>
      <c r="AF122">
        <f ca="1">IF($C122-AF$1&lt;År1,0,AE121*(1-VLOOKUP($A122,[1]Hugst!$R$5:$W$9,MATCH(ROUNDUP((AF$1)/10,0)*10,[1]Hugst!$R$4:$W$4,0))))</f>
        <v>617.52399142140155</v>
      </c>
      <c r="AG122">
        <f ca="1">IF($C122-AG$1&lt;År1,0,AF121*(1-VLOOKUP($A122,[1]Hugst!$R$5:$W$9,MATCH(ROUNDUP((AG$1)/10,0)*10,[1]Hugst!$R$4:$W$4,0))))</f>
        <v>617.84261583068201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21.485174107179773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819.87532142495286</v>
      </c>
      <c r="G123">
        <f ca="1">IF($C123-G$1&lt;År1,0,F122*(1-VLOOKUP($A123,[1]Hugst!$R$5:$W$9,MATCH(ROUNDUP((G$1)/10,0)*10,[1]Hugst!$R$4:$W$4,0))))</f>
        <v>819.77823780378742</v>
      </c>
      <c r="H123">
        <f ca="1">IF($C123-H$1&lt;År1,0,G122*(1-VLOOKUP($A123,[1]Hugst!$R$5:$W$9,MATCH(ROUNDUP((H$1)/10,0)*10,[1]Hugst!$R$4:$W$4,0))))</f>
        <v>819.68429691392532</v>
      </c>
      <c r="I123">
        <f ca="1">IF($C123-I$1&lt;År1,0,H122*(1-VLOOKUP($A123,[1]Hugst!$R$5:$W$9,MATCH(ROUNDUP((I$1)/10,0)*10,[1]Hugst!$R$4:$W$4,0))))</f>
        <v>819.59351852470365</v>
      </c>
      <c r="J123">
        <f ca="1">IF($C123-J$1&lt;År1,0,I122*(1-VLOOKUP($A123,[1]Hugst!$R$5:$W$9,MATCH(ROUNDUP((J$1)/10,0)*10,[1]Hugst!$R$4:$W$4,0))))</f>
        <v>819.50592250851162</v>
      </c>
      <c r="K123">
        <f ca="1">IF($C123-K$1&lt;År1,0,J122*(1-VLOOKUP($A123,[1]Hugst!$R$5:$W$9,MATCH(ROUNDUP((K$1)/10,0)*10,[1]Hugst!$R$4:$W$4,0))))</f>
        <v>819.42152884137533</v>
      </c>
      <c r="L123">
        <f ca="1">IF($C123-L$1&lt;År1,0,K122*(1-VLOOKUP($A123,[1]Hugst!$R$5:$W$9,MATCH(ROUNDUP((L$1)/10,0)*10,[1]Hugst!$R$4:$W$4,0))))</f>
        <v>819.34035760339532</v>
      </c>
      <c r="M123">
        <f ca="1">IF($C123-M$1&lt;År1,0,L122*(1-VLOOKUP($A123,[1]Hugst!$R$5:$W$9,MATCH(ROUNDUP((M$1)/10,0)*10,[1]Hugst!$R$4:$W$4,0))))</f>
        <v>819.26242897932218</v>
      </c>
      <c r="N123">
        <f ca="1">IF($C123-N$1&lt;År1,0,M122*(1-VLOOKUP($A123,[1]Hugst!$R$5:$W$9,MATCH(ROUNDUP((N$1)/10,0)*10,[1]Hugst!$R$4:$W$4,0))))</f>
        <v>819.1877632590614</v>
      </c>
      <c r="O123">
        <f ca="1">IF($C123-O$1&lt;År1,0,N122*(1-VLOOKUP($A123,[1]Hugst!$R$5:$W$9,MATCH(ROUNDUP((O$1)/10,0)*10,[1]Hugst!$R$4:$W$4,0))))</f>
        <v>819.42158874826066</v>
      </c>
      <c r="P123">
        <f ca="1">IF($C123-P$1&lt;År1,0,O122*(1-VLOOKUP($A123,[1]Hugst!$R$5:$W$9,MATCH(ROUNDUP((P$1)/10,0)*10,[1]Hugst!$R$4:$W$4,0))))</f>
        <v>818.54212113623896</v>
      </c>
      <c r="Q123">
        <f ca="1">IF($C123-Q$1&lt;År1,0,P122*(1-VLOOKUP($A123,[1]Hugst!$R$5:$W$9,MATCH(ROUNDUP((Q$1)/10,0)*10,[1]Hugst!$R$4:$W$4,0))))</f>
        <v>817.66646303771063</v>
      </c>
      <c r="R123">
        <f ca="1">IF($C123-R$1&lt;År1,0,Q122*(1-VLOOKUP($A123,[1]Hugst!$R$5:$W$9,MATCH(ROUNDUP((R$1)/10,0)*10,[1]Hugst!$R$4:$W$4,0))))</f>
        <v>816.79461725976114</v>
      </c>
      <c r="S123">
        <f ca="1">IF($C123-S$1&lt;År1,0,R122*(1-VLOOKUP($A123,[1]Hugst!$R$5:$W$9,MATCH(ROUNDUP((S$1)/10,0)*10,[1]Hugst!$R$4:$W$4,0))))</f>
        <v>815.92658663526583</v>
      </c>
      <c r="T123">
        <f ca="1">IF($C123-T$1&lt;År1,0,S122*(1-VLOOKUP($A123,[1]Hugst!$R$5:$W$9,MATCH(ROUNDUP((T$1)/10,0)*10,[1]Hugst!$R$4:$W$4,0))))</f>
        <v>815.06237402295085</v>
      </c>
      <c r="U123">
        <f ca="1">IF($C123-U$1&lt;År1,0,T122*(1-VLOOKUP($A123,[1]Hugst!$R$5:$W$9,MATCH(ROUNDUP((U$1)/10,0)*10,[1]Hugst!$R$4:$W$4,0))))</f>
        <v>814.20198230753226</v>
      </c>
      <c r="V123">
        <f ca="1">IF($C123-V$1&lt;År1,0,U122*(1-VLOOKUP($A123,[1]Hugst!$R$5:$W$9,MATCH(ROUNDUP((V$1)/10,0)*10,[1]Hugst!$R$4:$W$4,0))))</f>
        <v>813.34541439971406</v>
      </c>
      <c r="W123">
        <f ca="1">IF($C123-W$1&lt;År1,0,V122*(1-VLOOKUP($A123,[1]Hugst!$R$5:$W$9,MATCH(ROUNDUP((W$1)/10,0)*10,[1]Hugst!$R$4:$W$4,0))))</f>
        <v>812.49267323626066</v>
      </c>
      <c r="X123">
        <f ca="1">IF($C123-X$1&lt;År1,0,W122*(1-VLOOKUP($A123,[1]Hugst!$R$5:$W$9,MATCH(ROUNDUP((X$1)/10,0)*10,[1]Hugst!$R$4:$W$4,0))))</f>
        <v>614.5942341452153</v>
      </c>
      <c r="Y123">
        <f ca="1">IF($C123-Y$1&lt;År1,0,X122*(1-VLOOKUP($A123,[1]Hugst!$R$5:$W$9,MATCH(ROUNDUP((Y$1)/10,0)*10,[1]Hugst!$R$4:$W$4,0))))</f>
        <v>614.04973941072888</v>
      </c>
      <c r="Z123">
        <f ca="1">IF($C123-Z$1&lt;År1,0,Y122*(1-VLOOKUP($A123,[1]Hugst!$R$5:$W$9,MATCH(ROUNDUP((Z$1)/10,0)*10,[1]Hugst!$R$4:$W$4,0))))</f>
        <v>614.33607604145777</v>
      </c>
      <c r="AA123">
        <f ca="1">IF($C123-AA$1&lt;År1,0,Z122*(1-VLOOKUP($A123,[1]Hugst!$R$5:$W$9,MATCH(ROUNDUP((AA$1)/10,0)*10,[1]Hugst!$R$4:$W$4,0))))</f>
        <v>614.62635224205781</v>
      </c>
      <c r="AB123">
        <f ca="1">IF($C123-AB$1&lt;År1,0,AA122*(1-VLOOKUP($A123,[1]Hugst!$R$5:$W$9,MATCH(ROUNDUP((AB$1)/10,0)*10,[1]Hugst!$R$4:$W$4,0))))</f>
        <v>614.92057571784983</v>
      </c>
      <c r="AC123">
        <f ca="1">IF($C123-AC$1&lt;År1,0,AB122*(1-VLOOKUP($A123,[1]Hugst!$R$5:$W$9,MATCH(ROUNDUP((AC$1)/10,0)*10,[1]Hugst!$R$4:$W$4,0))))</f>
        <v>615.21875420840661</v>
      </c>
      <c r="AD123">
        <f ca="1">IF($C123-AD$1&lt;År1,0,AC122*(1-VLOOKUP($A123,[1]Hugst!$R$5:$W$9,MATCH(ROUNDUP((AD$1)/10,0)*10,[1]Hugst!$R$4:$W$4,0))))</f>
        <v>615.52089548780691</v>
      </c>
      <c r="AE123">
        <f ca="1">IF($C123-AE$1&lt;År1,0,AD122*(1-VLOOKUP($A123,[1]Hugst!$R$5:$W$9,MATCH(ROUNDUP((AE$1)/10,0)*10,[1]Hugst!$R$4:$W$4,0))))</f>
        <v>615.82700736457571</v>
      </c>
      <c r="AF123">
        <f ca="1">IF($C123-AF$1&lt;År1,0,AE122*(1-VLOOKUP($A123,[1]Hugst!$R$5:$W$9,MATCH(ROUNDUP((AF$1)/10,0)*10,[1]Hugst!$R$4:$W$4,0))))</f>
        <v>616.13709768190733</v>
      </c>
      <c r="AG123">
        <f ca="1">IF($C123-AG$1&lt;År1,0,AF122*(1-VLOOKUP($A123,[1]Hugst!$R$5:$W$9,MATCH(ROUNDUP((AG$1)/10,0)*10,[1]Hugst!$R$4:$W$4,0))))</f>
        <v>616.45117431766096</v>
      </c>
      <c r="AH123">
        <f ca="1">IF($C123-AH$1&lt;År1,0,AG122*(1-VLOOKUP($A123,[1]Hugst!$R$5:$W$9,MATCH(ROUNDUP((AH$1)/10,0)*10,[1]Hugst!$R$4:$W$4,0))))</f>
        <v>616.76924518453541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22.830417949215189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819.97552811065555</v>
      </c>
      <c r="G124">
        <f ca="1">IF($C124-G$1&lt;År1,0,F123*(1-VLOOKUP($A124,[1]Hugst!$R$5:$W$9,MATCH(ROUNDUP((G$1)/10,0)*10,[1]Hugst!$R$4:$W$4,0))))</f>
        <v>819.87532142495286</v>
      </c>
      <c r="H124">
        <f ca="1">IF($C124-H$1&lt;År1,0,G123*(1-VLOOKUP($A124,[1]Hugst!$R$5:$W$9,MATCH(ROUNDUP((H$1)/10,0)*10,[1]Hugst!$R$4:$W$4,0))))</f>
        <v>819.77823780378742</v>
      </c>
      <c r="I124">
        <f ca="1">IF($C124-I$1&lt;År1,0,H123*(1-VLOOKUP($A124,[1]Hugst!$R$5:$W$9,MATCH(ROUNDUP((I$1)/10,0)*10,[1]Hugst!$R$4:$W$4,0))))</f>
        <v>819.68429691392532</v>
      </c>
      <c r="J124">
        <f ca="1">IF($C124-J$1&lt;År1,0,I123*(1-VLOOKUP($A124,[1]Hugst!$R$5:$W$9,MATCH(ROUNDUP((J$1)/10,0)*10,[1]Hugst!$R$4:$W$4,0))))</f>
        <v>819.59351852470365</v>
      </c>
      <c r="K124">
        <f ca="1">IF($C124-K$1&lt;År1,0,J123*(1-VLOOKUP($A124,[1]Hugst!$R$5:$W$9,MATCH(ROUNDUP((K$1)/10,0)*10,[1]Hugst!$R$4:$W$4,0))))</f>
        <v>819.50592250851162</v>
      </c>
      <c r="L124">
        <f ca="1">IF($C124-L$1&lt;År1,0,K123*(1-VLOOKUP($A124,[1]Hugst!$R$5:$W$9,MATCH(ROUNDUP((L$1)/10,0)*10,[1]Hugst!$R$4:$W$4,0))))</f>
        <v>819.42152884137533</v>
      </c>
      <c r="M124">
        <f ca="1">IF($C124-M$1&lt;År1,0,L123*(1-VLOOKUP($A124,[1]Hugst!$R$5:$W$9,MATCH(ROUNDUP((M$1)/10,0)*10,[1]Hugst!$R$4:$W$4,0))))</f>
        <v>819.34035760339532</v>
      </c>
      <c r="N124">
        <f ca="1">IF($C124-N$1&lt;År1,0,M123*(1-VLOOKUP($A124,[1]Hugst!$R$5:$W$9,MATCH(ROUNDUP((N$1)/10,0)*10,[1]Hugst!$R$4:$W$4,0))))</f>
        <v>819.26242897932218</v>
      </c>
      <c r="O124">
        <f ca="1">IF($C124-O$1&lt;År1,0,N123*(1-VLOOKUP($A124,[1]Hugst!$R$5:$W$9,MATCH(ROUNDUP((O$1)/10,0)*10,[1]Hugst!$R$4:$W$4,0))))</f>
        <v>819.1877632590614</v>
      </c>
      <c r="P124">
        <f ca="1">IF($C124-P$1&lt;År1,0,O123*(1-VLOOKUP($A124,[1]Hugst!$R$5:$W$9,MATCH(ROUNDUP((P$1)/10,0)*10,[1]Hugst!$R$4:$W$4,0))))</f>
        <v>818.17162361288194</v>
      </c>
      <c r="Q124">
        <f ca="1">IF($C124-Q$1&lt;År1,0,P123*(1-VLOOKUP($A124,[1]Hugst!$R$5:$W$9,MATCH(ROUNDUP((Q$1)/10,0)*10,[1]Hugst!$R$4:$W$4,0))))</f>
        <v>817.29349756162435</v>
      </c>
      <c r="R124">
        <f ca="1">IF($C124-R$1&lt;År1,0,Q123*(1-VLOOKUP($A124,[1]Hugst!$R$5:$W$9,MATCH(ROUNDUP((R$1)/10,0)*10,[1]Hugst!$R$4:$W$4,0))))</f>
        <v>816.41917521273785</v>
      </c>
      <c r="S124">
        <f ca="1">IF($C124-S$1&lt;År1,0,R123*(1-VLOOKUP($A124,[1]Hugst!$R$5:$W$9,MATCH(ROUNDUP((S$1)/10,0)*10,[1]Hugst!$R$4:$W$4,0))))</f>
        <v>815.54865936902593</v>
      </c>
      <c r="T124">
        <f ca="1">IF($C124-T$1&lt;År1,0,S123*(1-VLOOKUP($A124,[1]Hugst!$R$5:$W$9,MATCH(ROUNDUP((T$1)/10,0)*10,[1]Hugst!$R$4:$W$4,0))))</f>
        <v>814.68195285904255</v>
      </c>
      <c r="U124">
        <f ca="1">IF($C124-U$1&lt;År1,0,T123*(1-VLOOKUP($A124,[1]Hugst!$R$5:$W$9,MATCH(ROUNDUP((U$1)/10,0)*10,[1]Hugst!$R$4:$W$4,0))))</f>
        <v>813.81905853715307</v>
      </c>
      <c r="V124">
        <f ca="1">IF($C124-V$1&lt;År1,0,U123*(1-VLOOKUP($A124,[1]Hugst!$R$5:$W$9,MATCH(ROUNDUP((V$1)/10,0)*10,[1]Hugst!$R$4:$W$4,0))))</f>
        <v>812.95997928367331</v>
      </c>
      <c r="W124">
        <f ca="1">IF($C124-W$1&lt;År1,0,V123*(1-VLOOKUP($A124,[1]Hugst!$R$5:$W$9,MATCH(ROUNDUP((W$1)/10,0)*10,[1]Hugst!$R$4:$W$4,0))))</f>
        <v>812.10471800486698</v>
      </c>
      <c r="X124">
        <f ca="1">IF($C124-X$1&lt;År1,0,W123*(1-VLOOKUP($A124,[1]Hugst!$R$5:$W$9,MATCH(ROUNDUP((X$1)/10,0)*10,[1]Hugst!$R$4:$W$4,0))))</f>
        <v>811.25327763301891</v>
      </c>
      <c r="Y124">
        <f ca="1">IF($C124-Y$1&lt;År1,0,X123*(1-VLOOKUP($A124,[1]Hugst!$R$5:$W$9,MATCH(ROUNDUP((Y$1)/10,0)*10,[1]Hugst!$R$4:$W$4,0))))</f>
        <v>613.65671751685818</v>
      </c>
      <c r="Z124">
        <f ca="1">IF($C124-Z$1&lt;År1,0,Y123*(1-VLOOKUP($A124,[1]Hugst!$R$5:$W$9,MATCH(ROUNDUP((Z$1)/10,0)*10,[1]Hugst!$R$4:$W$4,0))))</f>
        <v>612.98295808378646</v>
      </c>
      <c r="AA124">
        <f ca="1">IF($C124-AA$1&lt;År1,0,Z123*(1-VLOOKUP($A124,[1]Hugst!$R$5:$W$9,MATCH(ROUNDUP((AA$1)/10,0)*10,[1]Hugst!$R$4:$W$4,0))))</f>
        <v>613.26879726528398</v>
      </c>
      <c r="AB124">
        <f ca="1">IF($C124-AB$1&lt;År1,0,AA123*(1-VLOOKUP($A124,[1]Hugst!$R$5:$W$9,MATCH(ROUNDUP((AB$1)/10,0)*10,[1]Hugst!$R$4:$W$4,0))))</f>
        <v>613.55856917248468</v>
      </c>
      <c r="AC124">
        <f ca="1">IF($C124-AC$1&lt;År1,0,AB123*(1-VLOOKUP($A124,[1]Hugst!$R$5:$W$9,MATCH(ROUNDUP((AC$1)/10,0)*10,[1]Hugst!$R$4:$W$4,0))))</f>
        <v>613.85228149732302</v>
      </c>
      <c r="AD124">
        <f ca="1">IF($C124-AD$1&lt;År1,0,AC123*(1-VLOOKUP($A124,[1]Hugst!$R$5:$W$9,MATCH(ROUNDUP((AD$1)/10,0)*10,[1]Hugst!$R$4:$W$4,0))))</f>
        <v>614.1499419659259</v>
      </c>
      <c r="AE124">
        <f ca="1">IF($C124-AE$1&lt;År1,0,AD123*(1-VLOOKUP($A124,[1]Hugst!$R$5:$W$9,MATCH(ROUNDUP((AE$1)/10,0)*10,[1]Hugst!$R$4:$W$4,0))))</f>
        <v>614.45155833886622</v>
      </c>
      <c r="AF124">
        <f ca="1">IF($C124-AF$1&lt;År1,0,AE123*(1-VLOOKUP($A124,[1]Hugst!$R$5:$W$9,MATCH(ROUNDUP((AF$1)/10,0)*10,[1]Hugst!$R$4:$W$4,0))))</f>
        <v>614.75713841110337</v>
      </c>
      <c r="AG124">
        <f ca="1">IF($C124-AG$1&lt;År1,0,AF123*(1-VLOOKUP($A124,[1]Hugst!$R$5:$W$9,MATCH(ROUNDUP((AG$1)/10,0)*10,[1]Hugst!$R$4:$W$4,0))))</f>
        <v>615.06669001220564</v>
      </c>
      <c r="AH124">
        <f ca="1">IF($C124-AH$1&lt;År1,0,AG123*(1-VLOOKUP($A124,[1]Hugst!$R$5:$W$9,MATCH(ROUNDUP((AH$1)/10,0)*10,[1]Hugst!$R$4:$W$4,0))))</f>
        <v>615.38022100634635</v>
      </c>
      <c r="AI124">
        <f ca="1">IF($C124-AI$1&lt;År1,0,AH123*(1-VLOOKUP($A124,[1]Hugst!$R$5:$W$9,MATCH(ROUNDUP((AI$1)/10,0)*10,[1]Hugst!$R$4:$W$4,0))))</f>
        <v>615.69773929247754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23.651169564465818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819.55746775534146</v>
      </c>
      <c r="G125">
        <f ca="1">IF($C125-G$1&lt;År1,0,F124*(1-VLOOKUP($A125,[1]Hugst!$R$5:$W$9,MATCH(ROUNDUP((G$1)/10,0)*10,[1]Hugst!$R$4:$W$4,0))))</f>
        <v>819.97552811065555</v>
      </c>
      <c r="H125">
        <f ca="1">IF($C125-H$1&lt;År1,0,G124*(1-VLOOKUP($A125,[1]Hugst!$R$5:$W$9,MATCH(ROUNDUP((H$1)/10,0)*10,[1]Hugst!$R$4:$W$4,0))))</f>
        <v>819.87532142495286</v>
      </c>
      <c r="I125">
        <f ca="1">IF($C125-I$1&lt;År1,0,H124*(1-VLOOKUP($A125,[1]Hugst!$R$5:$W$9,MATCH(ROUNDUP((I$1)/10,0)*10,[1]Hugst!$R$4:$W$4,0))))</f>
        <v>819.77823780378742</v>
      </c>
      <c r="J125">
        <f ca="1">IF($C125-J$1&lt;År1,0,I124*(1-VLOOKUP($A125,[1]Hugst!$R$5:$W$9,MATCH(ROUNDUP((J$1)/10,0)*10,[1]Hugst!$R$4:$W$4,0))))</f>
        <v>819.68429691392532</v>
      </c>
      <c r="K125">
        <f ca="1">IF($C125-K$1&lt;År1,0,J124*(1-VLOOKUP($A125,[1]Hugst!$R$5:$W$9,MATCH(ROUNDUP((K$1)/10,0)*10,[1]Hugst!$R$4:$W$4,0))))</f>
        <v>819.59351852470365</v>
      </c>
      <c r="L125">
        <f ca="1">IF($C125-L$1&lt;År1,0,K124*(1-VLOOKUP($A125,[1]Hugst!$R$5:$W$9,MATCH(ROUNDUP((L$1)/10,0)*10,[1]Hugst!$R$4:$W$4,0))))</f>
        <v>819.50592250851162</v>
      </c>
      <c r="M125">
        <f ca="1">IF($C125-M$1&lt;År1,0,L124*(1-VLOOKUP($A125,[1]Hugst!$R$5:$W$9,MATCH(ROUNDUP((M$1)/10,0)*10,[1]Hugst!$R$4:$W$4,0))))</f>
        <v>819.42152884137533</v>
      </c>
      <c r="N125">
        <f ca="1">IF($C125-N$1&lt;År1,0,M124*(1-VLOOKUP($A125,[1]Hugst!$R$5:$W$9,MATCH(ROUNDUP((N$1)/10,0)*10,[1]Hugst!$R$4:$W$4,0))))</f>
        <v>819.34035760339532</v>
      </c>
      <c r="O125">
        <f ca="1">IF($C125-O$1&lt;År1,0,N124*(1-VLOOKUP($A125,[1]Hugst!$R$5:$W$9,MATCH(ROUNDUP((O$1)/10,0)*10,[1]Hugst!$R$4:$W$4,0))))</f>
        <v>819.26242897932218</v>
      </c>
      <c r="P125">
        <f ca="1">IF($C125-P$1&lt;År1,0,O124*(1-VLOOKUP($A125,[1]Hugst!$R$5:$W$9,MATCH(ROUNDUP((P$1)/10,0)*10,[1]Hugst!$R$4:$W$4,0))))</f>
        <v>817.93815480663227</v>
      </c>
      <c r="Q125">
        <f ca="1">IF($C125-Q$1&lt;År1,0,P124*(1-VLOOKUP($A125,[1]Hugst!$R$5:$W$9,MATCH(ROUNDUP((Q$1)/10,0)*10,[1]Hugst!$R$4:$W$4,0))))</f>
        <v>816.92356520398096</v>
      </c>
      <c r="R125">
        <f ca="1">IF($C125-R$1&lt;År1,0,Q124*(1-VLOOKUP($A125,[1]Hugst!$R$5:$W$9,MATCH(ROUNDUP((R$1)/10,0)*10,[1]Hugst!$R$4:$W$4,0))))</f>
        <v>816.04677866703878</v>
      </c>
      <c r="S125">
        <f ca="1">IF($C125-S$1&lt;År1,0,R124*(1-VLOOKUP($A125,[1]Hugst!$R$5:$W$9,MATCH(ROUNDUP((S$1)/10,0)*10,[1]Hugst!$R$4:$W$4,0))))</f>
        <v>815.17379003020994</v>
      </c>
      <c r="T125">
        <f ca="1">IF($C125-T$1&lt;År1,0,S124*(1-VLOOKUP($A125,[1]Hugst!$R$5:$W$9,MATCH(ROUNDUP((T$1)/10,0)*10,[1]Hugst!$R$4:$W$4,0))))</f>
        <v>814.30460209202226</v>
      </c>
      <c r="U125">
        <f ca="1">IF($C125-U$1&lt;År1,0,T124*(1-VLOOKUP($A125,[1]Hugst!$R$5:$W$9,MATCH(ROUNDUP((U$1)/10,0)*10,[1]Hugst!$R$4:$W$4,0))))</f>
        <v>813.4392176767152</v>
      </c>
      <c r="V125">
        <f ca="1">IF($C125-V$1&lt;År1,0,U124*(1-VLOOKUP($A125,[1]Hugst!$R$5:$W$9,MATCH(ROUNDUP((V$1)/10,0)*10,[1]Hugst!$R$4:$W$4,0))))</f>
        <v>812.57763963429977</v>
      </c>
      <c r="W125">
        <f ca="1">IF($C125-W$1&lt;År1,0,V124*(1-VLOOKUP($A125,[1]Hugst!$R$5:$W$9,MATCH(ROUNDUP((W$1)/10,0)*10,[1]Hugst!$R$4:$W$4,0))))</f>
        <v>811.71987084069815</v>
      </c>
      <c r="X125">
        <f ca="1">IF($C125-X$1&lt;År1,0,W124*(1-VLOOKUP($A125,[1]Hugst!$R$5:$W$9,MATCH(ROUNDUP((X$1)/10,0)*10,[1]Hugst!$R$4:$W$4,0))))</f>
        <v>810.86591419774084</v>
      </c>
      <c r="Y125">
        <f ca="1">IF($C125-Y$1&lt;År1,0,X124*(1-VLOOKUP($A125,[1]Hugst!$R$5:$W$9,MATCH(ROUNDUP((Y$1)/10,0)*10,[1]Hugst!$R$4:$W$4,0))))</f>
        <v>810.01577263323975</v>
      </c>
      <c r="Z125">
        <f ca="1">IF($C125-Z$1&lt;År1,0,Y124*(1-VLOOKUP($A125,[1]Hugst!$R$5:$W$9,MATCH(ROUNDUP((Z$1)/10,0)*10,[1]Hugst!$R$4:$W$4,0))))</f>
        <v>612.59061898218908</v>
      </c>
      <c r="AA125">
        <f ca="1">IF($C125-AA$1&lt;År1,0,Z124*(1-VLOOKUP($A125,[1]Hugst!$R$5:$W$9,MATCH(ROUNDUP((AA$1)/10,0)*10,[1]Hugst!$R$4:$W$4,0))))</f>
        <v>611.9180300633866</v>
      </c>
      <c r="AB125">
        <f ca="1">IF($C125-AB$1&lt;År1,0,AA124*(1-VLOOKUP($A125,[1]Hugst!$R$5:$W$9,MATCH(ROUNDUP((AB$1)/10,0)*10,[1]Hugst!$R$4:$W$4,0))))</f>
        <v>612.20337265986541</v>
      </c>
      <c r="AC125">
        <f ca="1">IF($C125-AC$1&lt;År1,0,AB124*(1-VLOOKUP($A125,[1]Hugst!$R$5:$W$9,MATCH(ROUNDUP((AC$1)/10,0)*10,[1]Hugst!$R$4:$W$4,0))))</f>
        <v>612.49264114976972</v>
      </c>
      <c r="AD125">
        <f ca="1">IF($C125-AD$1&lt;År1,0,AC124*(1-VLOOKUP($A125,[1]Hugst!$R$5:$W$9,MATCH(ROUNDUP((AD$1)/10,0)*10,[1]Hugst!$R$4:$W$4,0))))</f>
        <v>612.78584321167091</v>
      </c>
      <c r="AE125">
        <f ca="1">IF($C125-AE$1&lt;År1,0,AD124*(1-VLOOKUP($A125,[1]Hugst!$R$5:$W$9,MATCH(ROUNDUP((AE$1)/10,0)*10,[1]Hugst!$R$4:$W$4,0))))</f>
        <v>613.08298655827321</v>
      </c>
      <c r="AF125">
        <f ca="1">IF($C125-AF$1&lt;År1,0,AE124*(1-VLOOKUP($A125,[1]Hugst!$R$5:$W$9,MATCH(ROUNDUP((AF$1)/10,0)*10,[1]Hugst!$R$4:$W$4,0))))</f>
        <v>613.38407893666727</v>
      </c>
      <c r="AG125">
        <f ca="1">IF($C125-AG$1&lt;År1,0,AF124*(1-VLOOKUP($A125,[1]Hugst!$R$5:$W$9,MATCH(ROUNDUP((AG$1)/10,0)*10,[1]Hugst!$R$4:$W$4,0))))</f>
        <v>613.68912812827045</v>
      </c>
      <c r="AH125">
        <f ca="1">IF($C125-AH$1&lt;År1,0,AG124*(1-VLOOKUP($A125,[1]Hugst!$R$5:$W$9,MATCH(ROUNDUP((AH$1)/10,0)*10,[1]Hugst!$R$4:$W$4,0))))</f>
        <v>613.99814194904877</v>
      </c>
      <c r="AI125">
        <f ca="1">IF($C125-AI$1&lt;År1,0,AH124*(1-VLOOKUP($A125,[1]Hugst!$R$5:$W$9,MATCH(ROUNDUP((AI$1)/10,0)*10,[1]Hugst!$R$4:$W$4,0))))</f>
        <v>614.31112824951322</v>
      </c>
      <c r="AJ125">
        <f ca="1">IF($C125-AJ$1&lt;År1,0,AI124*(1-VLOOKUP($A125,[1]Hugst!$R$5:$W$9,MATCH(ROUNDUP((AJ$1)/10,0)*10,[1]Hugst!$R$4:$W$4,0))))</f>
        <v>615.1498726600563</v>
      </c>
      <c r="AL125">
        <f ca="1">SUM(F125:AJ125)</f>
        <v>23080.605756797253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364.53368246961463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363.98985181758314</v>
      </c>
      <c r="G127">
        <f ca="1">IF($C127-G$1&lt;År1,0,F126*(1-VLOOKUP($A127,[1]Hugst!$R$5:$W$9,MATCH(ROUNDUP((G$1)/10,0)*10,[1]Hugst!$R$4:$W$4,0))))</f>
        <v>364.53368246961463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630392.57650432887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363.44874031881761</v>
      </c>
      <c r="G128">
        <f ca="1">IF($C128-G$1&lt;År1,0,F127*(1-VLOOKUP($A128,[1]Hugst!$R$5:$W$9,MATCH(ROUNDUP((G$1)/10,0)*10,[1]Hugst!$R$4:$W$4,0))))</f>
        <v>363.98985181758314</v>
      </c>
      <c r="H128">
        <f ca="1">IF($C128-H$1&lt;År1,0,G127*(1-VLOOKUP($A128,[1]Hugst!$R$5:$W$9,MATCH(ROUNDUP((H$1)/10,0)*10,[1]Hugst!$R$4:$W$4,0))))</f>
        <v>364.53368246961463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362.9103343775422</v>
      </c>
      <c r="G129">
        <f ca="1">IF($C129-G$1&lt;År1,0,F128*(1-VLOOKUP($A129,[1]Hugst!$R$5:$W$9,MATCH(ROUNDUP((G$1)/10,0)*10,[1]Hugst!$R$4:$W$4,0))))</f>
        <v>363.44874031881761</v>
      </c>
      <c r="H129">
        <f ca="1">IF($C129-H$1&lt;År1,0,G128*(1-VLOOKUP($A129,[1]Hugst!$R$5:$W$9,MATCH(ROUNDUP((H$1)/10,0)*10,[1]Hugst!$R$4:$W$4,0))))</f>
        <v>363.98985181758314</v>
      </c>
      <c r="I129">
        <f ca="1">IF($C129-I$1&lt;År1,0,H128*(1-VLOOKUP($A129,[1]Hugst!$R$5:$W$9,MATCH(ROUNDUP((I$1)/10,0)*10,[1]Hugst!$R$4:$W$4,0))))</f>
        <v>364.53368246961463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362.37462046597341</v>
      </c>
      <c r="G130">
        <f ca="1">IF($C130-G$1&lt;År1,0,F129*(1-VLOOKUP($A130,[1]Hugst!$R$5:$W$9,MATCH(ROUNDUP((G$1)/10,0)*10,[1]Hugst!$R$4:$W$4,0))))</f>
        <v>362.9103343775422</v>
      </c>
      <c r="H130">
        <f ca="1">IF($C130-H$1&lt;År1,0,G129*(1-VLOOKUP($A130,[1]Hugst!$R$5:$W$9,MATCH(ROUNDUP((H$1)/10,0)*10,[1]Hugst!$R$4:$W$4,0))))</f>
        <v>363.44874031881761</v>
      </c>
      <c r="I130">
        <f ca="1">IF($C130-I$1&lt;År1,0,H129*(1-VLOOKUP($A130,[1]Hugst!$R$5:$W$9,MATCH(ROUNDUP((I$1)/10,0)*10,[1]Hugst!$R$4:$W$4,0))))</f>
        <v>363.98985181758314</v>
      </c>
      <c r="J130">
        <f ca="1">IF($C130-J$1&lt;År1,0,I129*(1-VLOOKUP($A130,[1]Hugst!$R$5:$W$9,MATCH(ROUNDUP((J$1)/10,0)*10,[1]Hugst!$R$4:$W$4,0))))</f>
        <v>364.53368246961463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361.84158512396232</v>
      </c>
      <c r="G131">
        <f ca="1">IF($C131-G$1&lt;År1,0,F130*(1-VLOOKUP($A131,[1]Hugst!$R$5:$W$9,MATCH(ROUNDUP((G$1)/10,0)*10,[1]Hugst!$R$4:$W$4,0))))</f>
        <v>362.37462046597341</v>
      </c>
      <c r="H131">
        <f ca="1">IF($C131-H$1&lt;År1,0,G130*(1-VLOOKUP($A131,[1]Hugst!$R$5:$W$9,MATCH(ROUNDUP((H$1)/10,0)*10,[1]Hugst!$R$4:$W$4,0))))</f>
        <v>362.9103343775422</v>
      </c>
      <c r="I131">
        <f ca="1">IF($C131-I$1&lt;År1,0,H130*(1-VLOOKUP($A131,[1]Hugst!$R$5:$W$9,MATCH(ROUNDUP((I$1)/10,0)*10,[1]Hugst!$R$4:$W$4,0))))</f>
        <v>363.44874031881761</v>
      </c>
      <c r="J131">
        <f ca="1">IF($C131-J$1&lt;År1,0,I130*(1-VLOOKUP($A131,[1]Hugst!$R$5:$W$9,MATCH(ROUNDUP((J$1)/10,0)*10,[1]Hugst!$R$4:$W$4,0))))</f>
        <v>363.98985181758314</v>
      </c>
      <c r="K131">
        <f ca="1">IF($C131-K$1&lt;År1,0,J130*(1-VLOOKUP($A131,[1]Hugst!$R$5:$W$9,MATCH(ROUNDUP((K$1)/10,0)*10,[1]Hugst!$R$4:$W$4,0))))</f>
        <v>364.53368246961463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361.31121495866228</v>
      </c>
      <c r="G132">
        <f ca="1">IF($C132-G$1&lt;År1,0,F131*(1-VLOOKUP($A132,[1]Hugst!$R$5:$W$9,MATCH(ROUNDUP((G$1)/10,0)*10,[1]Hugst!$R$4:$W$4,0))))</f>
        <v>361.84158512396232</v>
      </c>
      <c r="H132">
        <f ca="1">IF($C132-H$1&lt;År1,0,G131*(1-VLOOKUP($A132,[1]Hugst!$R$5:$W$9,MATCH(ROUNDUP((H$1)/10,0)*10,[1]Hugst!$R$4:$W$4,0))))</f>
        <v>362.37462046597341</v>
      </c>
      <c r="I132">
        <f ca="1">IF($C132-I$1&lt;År1,0,H131*(1-VLOOKUP($A132,[1]Hugst!$R$5:$W$9,MATCH(ROUNDUP((I$1)/10,0)*10,[1]Hugst!$R$4:$W$4,0))))</f>
        <v>362.9103343775422</v>
      </c>
      <c r="J132">
        <f ca="1">IF($C132-J$1&lt;År1,0,I131*(1-VLOOKUP($A132,[1]Hugst!$R$5:$W$9,MATCH(ROUNDUP((J$1)/10,0)*10,[1]Hugst!$R$4:$W$4,0))))</f>
        <v>363.44874031881761</v>
      </c>
      <c r="K132">
        <f ca="1">IF($C132-K$1&lt;År1,0,J131*(1-VLOOKUP($A132,[1]Hugst!$R$5:$W$9,MATCH(ROUNDUP((K$1)/10,0)*10,[1]Hugst!$R$4:$W$4,0))))</f>
        <v>363.98985181758314</v>
      </c>
      <c r="L132">
        <f ca="1">IF($C132-L$1&lt;År1,0,K131*(1-VLOOKUP($A132,[1]Hugst!$R$5:$W$9,MATCH(ROUNDUP((L$1)/10,0)*10,[1]Hugst!$R$4:$W$4,0))))</f>
        <v>364.53368246961463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360.7834966441892</v>
      </c>
      <c r="G133">
        <f ca="1">IF($C133-G$1&lt;År1,0,F132*(1-VLOOKUP($A133,[1]Hugst!$R$5:$W$9,MATCH(ROUNDUP((G$1)/10,0)*10,[1]Hugst!$R$4:$W$4,0))))</f>
        <v>361.31121495866228</v>
      </c>
      <c r="H133">
        <f ca="1">IF($C133-H$1&lt;År1,0,G132*(1-VLOOKUP($A133,[1]Hugst!$R$5:$W$9,MATCH(ROUNDUP((H$1)/10,0)*10,[1]Hugst!$R$4:$W$4,0))))</f>
        <v>361.84158512396232</v>
      </c>
      <c r="I133">
        <f ca="1">IF($C133-I$1&lt;År1,0,H132*(1-VLOOKUP($A133,[1]Hugst!$R$5:$W$9,MATCH(ROUNDUP((I$1)/10,0)*10,[1]Hugst!$R$4:$W$4,0))))</f>
        <v>362.37462046597341</v>
      </c>
      <c r="J133">
        <f ca="1">IF($C133-J$1&lt;År1,0,I132*(1-VLOOKUP($A133,[1]Hugst!$R$5:$W$9,MATCH(ROUNDUP((J$1)/10,0)*10,[1]Hugst!$R$4:$W$4,0))))</f>
        <v>362.9103343775422</v>
      </c>
      <c r="K133">
        <f ca="1">IF($C133-K$1&lt;År1,0,J132*(1-VLOOKUP($A133,[1]Hugst!$R$5:$W$9,MATCH(ROUNDUP((K$1)/10,0)*10,[1]Hugst!$R$4:$W$4,0))))</f>
        <v>363.44874031881761</v>
      </c>
      <c r="L133">
        <f ca="1">IF($C133-L$1&lt;År1,0,K132*(1-VLOOKUP($A133,[1]Hugst!$R$5:$W$9,MATCH(ROUNDUP((L$1)/10,0)*10,[1]Hugst!$R$4:$W$4,0))))</f>
        <v>363.98985181758314</v>
      </c>
      <c r="M133">
        <f ca="1">IF($C133-M$1&lt;År1,0,L132*(1-VLOOKUP($A133,[1]Hugst!$R$5:$W$9,MATCH(ROUNDUP((M$1)/10,0)*10,[1]Hugst!$R$4:$W$4,0))))</f>
        <v>364.53368246961463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360.2584169212887</v>
      </c>
      <c r="G134">
        <f ca="1">IF($C134-G$1&lt;År1,0,F133*(1-VLOOKUP($A134,[1]Hugst!$R$5:$W$9,MATCH(ROUNDUP((G$1)/10,0)*10,[1]Hugst!$R$4:$W$4,0))))</f>
        <v>360.7834966441892</v>
      </c>
      <c r="H134">
        <f ca="1">IF($C134-H$1&lt;År1,0,G133*(1-VLOOKUP($A134,[1]Hugst!$R$5:$W$9,MATCH(ROUNDUP((H$1)/10,0)*10,[1]Hugst!$R$4:$W$4,0))))</f>
        <v>361.31121495866228</v>
      </c>
      <c r="I134">
        <f ca="1">IF($C134-I$1&lt;År1,0,H133*(1-VLOOKUP($A134,[1]Hugst!$R$5:$W$9,MATCH(ROUNDUP((I$1)/10,0)*10,[1]Hugst!$R$4:$W$4,0))))</f>
        <v>361.84158512396232</v>
      </c>
      <c r="J134">
        <f ca="1">IF($C134-J$1&lt;År1,0,I133*(1-VLOOKUP($A134,[1]Hugst!$R$5:$W$9,MATCH(ROUNDUP((J$1)/10,0)*10,[1]Hugst!$R$4:$W$4,0))))</f>
        <v>362.37462046597341</v>
      </c>
      <c r="K134">
        <f ca="1">IF($C134-K$1&lt;År1,0,J133*(1-VLOOKUP($A134,[1]Hugst!$R$5:$W$9,MATCH(ROUNDUP((K$1)/10,0)*10,[1]Hugst!$R$4:$W$4,0))))</f>
        <v>362.9103343775422</v>
      </c>
      <c r="L134">
        <f ca="1">IF($C134-L$1&lt;År1,0,K133*(1-VLOOKUP($A134,[1]Hugst!$R$5:$W$9,MATCH(ROUNDUP((L$1)/10,0)*10,[1]Hugst!$R$4:$W$4,0))))</f>
        <v>363.44874031881761</v>
      </c>
      <c r="M134">
        <f ca="1">IF($C134-M$1&lt;År1,0,L133*(1-VLOOKUP($A134,[1]Hugst!$R$5:$W$9,MATCH(ROUNDUP((M$1)/10,0)*10,[1]Hugst!$R$4:$W$4,0))))</f>
        <v>363.98985181758314</v>
      </c>
      <c r="N134">
        <f ca="1">IF($C134-N$1&lt;År1,0,M133*(1-VLOOKUP($A134,[1]Hugst!$R$5:$W$9,MATCH(ROUNDUP((N$1)/10,0)*10,[1]Hugst!$R$4:$W$4,0))))</f>
        <v>364.53368246961463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359.73596259699673</v>
      </c>
      <c r="G135">
        <f ca="1">IF($C135-G$1&lt;År1,0,F134*(1-VLOOKUP($A135,[1]Hugst!$R$5:$W$9,MATCH(ROUNDUP((G$1)/10,0)*10,[1]Hugst!$R$4:$W$4,0))))</f>
        <v>360.2584169212887</v>
      </c>
      <c r="H135">
        <f ca="1">IF($C135-H$1&lt;År1,0,G134*(1-VLOOKUP($A135,[1]Hugst!$R$5:$W$9,MATCH(ROUNDUP((H$1)/10,0)*10,[1]Hugst!$R$4:$W$4,0))))</f>
        <v>360.7834966441892</v>
      </c>
      <c r="I135">
        <f ca="1">IF($C135-I$1&lt;År1,0,H134*(1-VLOOKUP($A135,[1]Hugst!$R$5:$W$9,MATCH(ROUNDUP((I$1)/10,0)*10,[1]Hugst!$R$4:$W$4,0))))</f>
        <v>361.31121495866228</v>
      </c>
      <c r="J135">
        <f ca="1">IF($C135-J$1&lt;År1,0,I134*(1-VLOOKUP($A135,[1]Hugst!$R$5:$W$9,MATCH(ROUNDUP((J$1)/10,0)*10,[1]Hugst!$R$4:$W$4,0))))</f>
        <v>361.84158512396232</v>
      </c>
      <c r="K135">
        <f ca="1">IF($C135-K$1&lt;År1,0,J134*(1-VLOOKUP($A135,[1]Hugst!$R$5:$W$9,MATCH(ROUNDUP((K$1)/10,0)*10,[1]Hugst!$R$4:$W$4,0))))</f>
        <v>362.37462046597341</v>
      </c>
      <c r="L135">
        <f ca="1">IF($C135-L$1&lt;År1,0,K134*(1-VLOOKUP($A135,[1]Hugst!$R$5:$W$9,MATCH(ROUNDUP((L$1)/10,0)*10,[1]Hugst!$R$4:$W$4,0))))</f>
        <v>362.9103343775422</v>
      </c>
      <c r="M135">
        <f ca="1">IF($C135-M$1&lt;År1,0,L134*(1-VLOOKUP($A135,[1]Hugst!$R$5:$W$9,MATCH(ROUNDUP((M$1)/10,0)*10,[1]Hugst!$R$4:$W$4,0))))</f>
        <v>363.44874031881761</v>
      </c>
      <c r="N135">
        <f ca="1">IF($C135-N$1&lt;År1,0,M134*(1-VLOOKUP($A135,[1]Hugst!$R$5:$W$9,MATCH(ROUNDUP((N$1)/10,0)*10,[1]Hugst!$R$4:$W$4,0))))</f>
        <v>363.98985181758314</v>
      </c>
      <c r="O135">
        <f ca="1">IF($C135-O$1&lt;År1,0,N134*(1-VLOOKUP($A135,[1]Hugst!$R$5:$W$9,MATCH(ROUNDUP((O$1)/10,0)*10,[1]Hugst!$R$4:$W$4,0))))</f>
        <v>364.53368246961463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359.21612054433638</v>
      </c>
      <c r="G136">
        <f ca="1">IF($C136-G$1&lt;År1,0,F135*(1-VLOOKUP($A136,[1]Hugst!$R$5:$W$9,MATCH(ROUNDUP((G$1)/10,0)*10,[1]Hugst!$R$4:$W$4,0))))</f>
        <v>359.73596259699673</v>
      </c>
      <c r="H136">
        <f ca="1">IF($C136-H$1&lt;År1,0,G135*(1-VLOOKUP($A136,[1]Hugst!$R$5:$W$9,MATCH(ROUNDUP((H$1)/10,0)*10,[1]Hugst!$R$4:$W$4,0))))</f>
        <v>360.2584169212887</v>
      </c>
      <c r="I136">
        <f ca="1">IF($C136-I$1&lt;År1,0,H135*(1-VLOOKUP($A136,[1]Hugst!$R$5:$W$9,MATCH(ROUNDUP((I$1)/10,0)*10,[1]Hugst!$R$4:$W$4,0))))</f>
        <v>360.7834966441892</v>
      </c>
      <c r="J136">
        <f ca="1">IF($C136-J$1&lt;År1,0,I135*(1-VLOOKUP($A136,[1]Hugst!$R$5:$W$9,MATCH(ROUNDUP((J$1)/10,0)*10,[1]Hugst!$R$4:$W$4,0))))</f>
        <v>361.31121495866228</v>
      </c>
      <c r="K136">
        <f ca="1">IF($C136-K$1&lt;År1,0,J135*(1-VLOOKUP($A136,[1]Hugst!$R$5:$W$9,MATCH(ROUNDUP((K$1)/10,0)*10,[1]Hugst!$R$4:$W$4,0))))</f>
        <v>361.84158512396232</v>
      </c>
      <c r="L136">
        <f ca="1">IF($C136-L$1&lt;År1,0,K135*(1-VLOOKUP($A136,[1]Hugst!$R$5:$W$9,MATCH(ROUNDUP((L$1)/10,0)*10,[1]Hugst!$R$4:$W$4,0))))</f>
        <v>362.37462046597341</v>
      </c>
      <c r="M136">
        <f ca="1">IF($C136-M$1&lt;År1,0,L135*(1-VLOOKUP($A136,[1]Hugst!$R$5:$W$9,MATCH(ROUNDUP((M$1)/10,0)*10,[1]Hugst!$R$4:$W$4,0))))</f>
        <v>362.9103343775422</v>
      </c>
      <c r="N136">
        <f ca="1">IF($C136-N$1&lt;År1,0,M135*(1-VLOOKUP($A136,[1]Hugst!$R$5:$W$9,MATCH(ROUNDUP((N$1)/10,0)*10,[1]Hugst!$R$4:$W$4,0))))</f>
        <v>363.44874031881761</v>
      </c>
      <c r="O136">
        <f ca="1">IF($C136-O$1&lt;År1,0,N135*(1-VLOOKUP($A136,[1]Hugst!$R$5:$W$9,MATCH(ROUNDUP((O$1)/10,0)*10,[1]Hugst!$R$4:$W$4,0))))</f>
        <v>363.98985181758314</v>
      </c>
      <c r="P136">
        <f ca="1">IF($C136-P$1&lt;År1,0,O135*(1-VLOOKUP($A136,[1]Hugst!$R$5:$W$9,MATCH(ROUNDUP((P$1)/10,0)*10,[1]Hugst!$R$4:$W$4,0))))</f>
        <v>364.53368246961463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504.85176459555504</v>
      </c>
      <c r="G137">
        <f ca="1">IF($C137-G$1&lt;År1,0,F136*(1-VLOOKUP($A137,[1]Hugst!$R$5:$W$9,MATCH(ROUNDUP((G$1)/10,0)*10,[1]Hugst!$R$4:$W$4,0))))</f>
        <v>359.21612054433638</v>
      </c>
      <c r="H137">
        <f ca="1">IF($C137-H$1&lt;År1,0,G136*(1-VLOOKUP($A137,[1]Hugst!$R$5:$W$9,MATCH(ROUNDUP((H$1)/10,0)*10,[1]Hugst!$R$4:$W$4,0))))</f>
        <v>359.73596259699673</v>
      </c>
      <c r="I137">
        <f ca="1">IF($C137-I$1&lt;År1,0,H136*(1-VLOOKUP($A137,[1]Hugst!$R$5:$W$9,MATCH(ROUNDUP((I$1)/10,0)*10,[1]Hugst!$R$4:$W$4,0))))</f>
        <v>360.2584169212887</v>
      </c>
      <c r="J137">
        <f ca="1">IF($C137-J$1&lt;År1,0,I136*(1-VLOOKUP($A137,[1]Hugst!$R$5:$W$9,MATCH(ROUNDUP((J$1)/10,0)*10,[1]Hugst!$R$4:$W$4,0))))</f>
        <v>360.7834966441892</v>
      </c>
      <c r="K137">
        <f ca="1">IF($C137-K$1&lt;År1,0,J136*(1-VLOOKUP($A137,[1]Hugst!$R$5:$W$9,MATCH(ROUNDUP((K$1)/10,0)*10,[1]Hugst!$R$4:$W$4,0))))</f>
        <v>361.31121495866228</v>
      </c>
      <c r="L137">
        <f ca="1">IF($C137-L$1&lt;År1,0,K136*(1-VLOOKUP($A137,[1]Hugst!$R$5:$W$9,MATCH(ROUNDUP((L$1)/10,0)*10,[1]Hugst!$R$4:$W$4,0))))</f>
        <v>361.84158512396232</v>
      </c>
      <c r="M137">
        <f ca="1">IF($C137-M$1&lt;År1,0,L136*(1-VLOOKUP($A137,[1]Hugst!$R$5:$W$9,MATCH(ROUNDUP((M$1)/10,0)*10,[1]Hugst!$R$4:$W$4,0))))</f>
        <v>362.37462046597341</v>
      </c>
      <c r="N137">
        <f ca="1">IF($C137-N$1&lt;År1,0,M136*(1-VLOOKUP($A137,[1]Hugst!$R$5:$W$9,MATCH(ROUNDUP((N$1)/10,0)*10,[1]Hugst!$R$4:$W$4,0))))</f>
        <v>362.9103343775422</v>
      </c>
      <c r="O137">
        <f ca="1">IF($C137-O$1&lt;År1,0,N136*(1-VLOOKUP($A137,[1]Hugst!$R$5:$W$9,MATCH(ROUNDUP((O$1)/10,0)*10,[1]Hugst!$R$4:$W$4,0))))</f>
        <v>363.44874031881761</v>
      </c>
      <c r="P137">
        <f ca="1">IF($C137-P$1&lt;År1,0,O136*(1-VLOOKUP($A137,[1]Hugst!$R$5:$W$9,MATCH(ROUNDUP((P$1)/10,0)*10,[1]Hugst!$R$4:$W$4,0))))</f>
        <v>363.98985181758314</v>
      </c>
      <c r="Q137">
        <f ca="1">IF($C137-Q$1&lt;År1,0,P136*(1-VLOOKUP($A137,[1]Hugst!$R$5:$W$9,MATCH(ROUNDUP((Q$1)/10,0)*10,[1]Hugst!$R$4:$W$4,0))))</f>
        <v>364.53368246961463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504.33710796736972</v>
      </c>
      <c r="G138">
        <f ca="1">IF($C138-G$1&lt;År1,0,F137*(1-VLOOKUP($A138,[1]Hugst!$R$5:$W$9,MATCH(ROUNDUP((G$1)/10,0)*10,[1]Hugst!$R$4:$W$4,0))))</f>
        <v>504.85176459555504</v>
      </c>
      <c r="H138">
        <f ca="1">IF($C138-H$1&lt;År1,0,G137*(1-VLOOKUP($A138,[1]Hugst!$R$5:$W$9,MATCH(ROUNDUP((H$1)/10,0)*10,[1]Hugst!$R$4:$W$4,0))))</f>
        <v>359.21612054433638</v>
      </c>
      <c r="I138">
        <f ca="1">IF($C138-I$1&lt;År1,0,H137*(1-VLOOKUP($A138,[1]Hugst!$R$5:$W$9,MATCH(ROUNDUP((I$1)/10,0)*10,[1]Hugst!$R$4:$W$4,0))))</f>
        <v>359.73596259699673</v>
      </c>
      <c r="J138">
        <f ca="1">IF($C138-J$1&lt;År1,0,I137*(1-VLOOKUP($A138,[1]Hugst!$R$5:$W$9,MATCH(ROUNDUP((J$1)/10,0)*10,[1]Hugst!$R$4:$W$4,0))))</f>
        <v>360.2584169212887</v>
      </c>
      <c r="K138">
        <f ca="1">IF($C138-K$1&lt;År1,0,J137*(1-VLOOKUP($A138,[1]Hugst!$R$5:$W$9,MATCH(ROUNDUP((K$1)/10,0)*10,[1]Hugst!$R$4:$W$4,0))))</f>
        <v>360.7834966441892</v>
      </c>
      <c r="L138">
        <f ca="1">IF($C138-L$1&lt;År1,0,K137*(1-VLOOKUP($A138,[1]Hugst!$R$5:$W$9,MATCH(ROUNDUP((L$1)/10,0)*10,[1]Hugst!$R$4:$W$4,0))))</f>
        <v>361.31121495866228</v>
      </c>
      <c r="M138">
        <f ca="1">IF($C138-M$1&lt;År1,0,L137*(1-VLOOKUP($A138,[1]Hugst!$R$5:$W$9,MATCH(ROUNDUP((M$1)/10,0)*10,[1]Hugst!$R$4:$W$4,0))))</f>
        <v>361.84158512396232</v>
      </c>
      <c r="N138">
        <f ca="1">IF($C138-N$1&lt;År1,0,M137*(1-VLOOKUP($A138,[1]Hugst!$R$5:$W$9,MATCH(ROUNDUP((N$1)/10,0)*10,[1]Hugst!$R$4:$W$4,0))))</f>
        <v>362.37462046597341</v>
      </c>
      <c r="O138">
        <f ca="1">IF($C138-O$1&lt;År1,0,N137*(1-VLOOKUP($A138,[1]Hugst!$R$5:$W$9,MATCH(ROUNDUP((O$1)/10,0)*10,[1]Hugst!$R$4:$W$4,0))))</f>
        <v>362.9103343775422</v>
      </c>
      <c r="P138">
        <f ca="1">IF($C138-P$1&lt;År1,0,O137*(1-VLOOKUP($A138,[1]Hugst!$R$5:$W$9,MATCH(ROUNDUP((P$1)/10,0)*10,[1]Hugst!$R$4:$W$4,0))))</f>
        <v>363.44874031881761</v>
      </c>
      <c r="Q138">
        <f ca="1">IF($C138-Q$1&lt;År1,0,P137*(1-VLOOKUP($A138,[1]Hugst!$R$5:$W$9,MATCH(ROUNDUP((Q$1)/10,0)*10,[1]Hugst!$R$4:$W$4,0))))</f>
        <v>363.98985181758314</v>
      </c>
      <c r="R138">
        <f ca="1">IF($C138-R$1&lt;År1,0,Q137*(1-VLOOKUP($A138,[1]Hugst!$R$5:$W$9,MATCH(ROUNDUP((R$1)/10,0)*10,[1]Hugst!$R$4:$W$4,0))))</f>
        <v>364.53368246961463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503.82502462231758</v>
      </c>
      <c r="G139">
        <f ca="1">IF($C139-G$1&lt;År1,0,F138*(1-VLOOKUP($A139,[1]Hugst!$R$5:$W$9,MATCH(ROUNDUP((G$1)/10,0)*10,[1]Hugst!$R$4:$W$4,0))))</f>
        <v>504.33710796736972</v>
      </c>
      <c r="H139">
        <f ca="1">IF($C139-H$1&lt;År1,0,G138*(1-VLOOKUP($A139,[1]Hugst!$R$5:$W$9,MATCH(ROUNDUP((H$1)/10,0)*10,[1]Hugst!$R$4:$W$4,0))))</f>
        <v>504.85176459555504</v>
      </c>
      <c r="I139">
        <f ca="1">IF($C139-I$1&lt;År1,0,H138*(1-VLOOKUP($A139,[1]Hugst!$R$5:$W$9,MATCH(ROUNDUP((I$1)/10,0)*10,[1]Hugst!$R$4:$W$4,0))))</f>
        <v>359.21612054433638</v>
      </c>
      <c r="J139">
        <f ca="1">IF($C139-J$1&lt;År1,0,I138*(1-VLOOKUP($A139,[1]Hugst!$R$5:$W$9,MATCH(ROUNDUP((J$1)/10,0)*10,[1]Hugst!$R$4:$W$4,0))))</f>
        <v>359.73596259699673</v>
      </c>
      <c r="K139">
        <f ca="1">IF($C139-K$1&lt;År1,0,J138*(1-VLOOKUP($A139,[1]Hugst!$R$5:$W$9,MATCH(ROUNDUP((K$1)/10,0)*10,[1]Hugst!$R$4:$W$4,0))))</f>
        <v>360.2584169212887</v>
      </c>
      <c r="L139">
        <f ca="1">IF($C139-L$1&lt;År1,0,K138*(1-VLOOKUP($A139,[1]Hugst!$R$5:$W$9,MATCH(ROUNDUP((L$1)/10,0)*10,[1]Hugst!$R$4:$W$4,0))))</f>
        <v>360.7834966441892</v>
      </c>
      <c r="M139">
        <f ca="1">IF($C139-M$1&lt;År1,0,L138*(1-VLOOKUP($A139,[1]Hugst!$R$5:$W$9,MATCH(ROUNDUP((M$1)/10,0)*10,[1]Hugst!$R$4:$W$4,0))))</f>
        <v>361.31121495866228</v>
      </c>
      <c r="N139">
        <f ca="1">IF($C139-N$1&lt;År1,0,M138*(1-VLOOKUP($A139,[1]Hugst!$R$5:$W$9,MATCH(ROUNDUP((N$1)/10,0)*10,[1]Hugst!$R$4:$W$4,0))))</f>
        <v>361.84158512396232</v>
      </c>
      <c r="O139">
        <f ca="1">IF($C139-O$1&lt;År1,0,N138*(1-VLOOKUP($A139,[1]Hugst!$R$5:$W$9,MATCH(ROUNDUP((O$1)/10,0)*10,[1]Hugst!$R$4:$W$4,0))))</f>
        <v>362.37462046597341</v>
      </c>
      <c r="P139">
        <f ca="1">IF($C139-P$1&lt;År1,0,O138*(1-VLOOKUP($A139,[1]Hugst!$R$5:$W$9,MATCH(ROUNDUP((P$1)/10,0)*10,[1]Hugst!$R$4:$W$4,0))))</f>
        <v>362.9103343775422</v>
      </c>
      <c r="Q139">
        <f ca="1">IF($C139-Q$1&lt;År1,0,P138*(1-VLOOKUP($A139,[1]Hugst!$R$5:$W$9,MATCH(ROUNDUP((Q$1)/10,0)*10,[1]Hugst!$R$4:$W$4,0))))</f>
        <v>363.44874031881761</v>
      </c>
      <c r="R139">
        <f ca="1">IF($C139-R$1&lt;År1,0,Q138*(1-VLOOKUP($A139,[1]Hugst!$R$5:$W$9,MATCH(ROUNDUP((R$1)/10,0)*10,[1]Hugst!$R$4:$W$4,0))))</f>
        <v>363.98985181758314</v>
      </c>
      <c r="S139">
        <f ca="1">IF($C139-S$1&lt;År1,0,R138*(1-VLOOKUP($A139,[1]Hugst!$R$5:$W$9,MATCH(ROUNDUP((S$1)/10,0)*10,[1]Hugst!$R$4:$W$4,0))))</f>
        <v>364.53368246961463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503.31550169399378</v>
      </c>
      <c r="G140">
        <f ca="1">IF($C140-G$1&lt;År1,0,F139*(1-VLOOKUP($A140,[1]Hugst!$R$5:$W$9,MATCH(ROUNDUP((G$1)/10,0)*10,[1]Hugst!$R$4:$W$4,0))))</f>
        <v>503.82502462231758</v>
      </c>
      <c r="H140">
        <f ca="1">IF($C140-H$1&lt;År1,0,G139*(1-VLOOKUP($A140,[1]Hugst!$R$5:$W$9,MATCH(ROUNDUP((H$1)/10,0)*10,[1]Hugst!$R$4:$W$4,0))))</f>
        <v>504.33710796736972</v>
      </c>
      <c r="I140">
        <f ca="1">IF($C140-I$1&lt;År1,0,H139*(1-VLOOKUP($A140,[1]Hugst!$R$5:$W$9,MATCH(ROUNDUP((I$1)/10,0)*10,[1]Hugst!$R$4:$W$4,0))))</f>
        <v>504.85176459555504</v>
      </c>
      <c r="J140">
        <f ca="1">IF($C140-J$1&lt;År1,0,I139*(1-VLOOKUP($A140,[1]Hugst!$R$5:$W$9,MATCH(ROUNDUP((J$1)/10,0)*10,[1]Hugst!$R$4:$W$4,0))))</f>
        <v>359.21612054433638</v>
      </c>
      <c r="K140">
        <f ca="1">IF($C140-K$1&lt;År1,0,J139*(1-VLOOKUP($A140,[1]Hugst!$R$5:$W$9,MATCH(ROUNDUP((K$1)/10,0)*10,[1]Hugst!$R$4:$W$4,0))))</f>
        <v>359.73596259699673</v>
      </c>
      <c r="L140">
        <f ca="1">IF($C140-L$1&lt;År1,0,K139*(1-VLOOKUP($A140,[1]Hugst!$R$5:$W$9,MATCH(ROUNDUP((L$1)/10,0)*10,[1]Hugst!$R$4:$W$4,0))))</f>
        <v>360.2584169212887</v>
      </c>
      <c r="M140">
        <f ca="1">IF($C140-M$1&lt;År1,0,L139*(1-VLOOKUP($A140,[1]Hugst!$R$5:$W$9,MATCH(ROUNDUP((M$1)/10,0)*10,[1]Hugst!$R$4:$W$4,0))))</f>
        <v>360.7834966441892</v>
      </c>
      <c r="N140">
        <f ca="1">IF($C140-N$1&lt;År1,0,M139*(1-VLOOKUP($A140,[1]Hugst!$R$5:$W$9,MATCH(ROUNDUP((N$1)/10,0)*10,[1]Hugst!$R$4:$W$4,0))))</f>
        <v>361.31121495866228</v>
      </c>
      <c r="O140">
        <f ca="1">IF($C140-O$1&lt;År1,0,N139*(1-VLOOKUP($A140,[1]Hugst!$R$5:$W$9,MATCH(ROUNDUP((O$1)/10,0)*10,[1]Hugst!$R$4:$W$4,0))))</f>
        <v>361.84158512396232</v>
      </c>
      <c r="P140">
        <f ca="1">IF($C140-P$1&lt;År1,0,O139*(1-VLOOKUP($A140,[1]Hugst!$R$5:$W$9,MATCH(ROUNDUP((P$1)/10,0)*10,[1]Hugst!$R$4:$W$4,0))))</f>
        <v>362.37462046597341</v>
      </c>
      <c r="Q140">
        <f ca="1">IF($C140-Q$1&lt;År1,0,P139*(1-VLOOKUP($A140,[1]Hugst!$R$5:$W$9,MATCH(ROUNDUP((Q$1)/10,0)*10,[1]Hugst!$R$4:$W$4,0))))</f>
        <v>362.9103343775422</v>
      </c>
      <c r="R140">
        <f ca="1">IF($C140-R$1&lt;År1,0,Q139*(1-VLOOKUP($A140,[1]Hugst!$R$5:$W$9,MATCH(ROUNDUP((R$1)/10,0)*10,[1]Hugst!$R$4:$W$4,0))))</f>
        <v>363.44874031881761</v>
      </c>
      <c r="S140">
        <f ca="1">IF($C140-S$1&lt;År1,0,R139*(1-VLOOKUP($A140,[1]Hugst!$R$5:$W$9,MATCH(ROUNDUP((S$1)/10,0)*10,[1]Hugst!$R$4:$W$4,0))))</f>
        <v>363.98985181758314</v>
      </c>
      <c r="T140">
        <f ca="1">IF($C140-T$1&lt;År1,0,S139*(1-VLOOKUP($A140,[1]Hugst!$R$5:$W$9,MATCH(ROUNDUP((T$1)/10,0)*10,[1]Hugst!$R$4:$W$4,0))))</f>
        <v>364.53368246961463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502.80852638031337</v>
      </c>
      <c r="G141">
        <f ca="1">IF($C141-G$1&lt;År1,0,F140*(1-VLOOKUP($A141,[1]Hugst!$R$5:$W$9,MATCH(ROUNDUP((G$1)/10,0)*10,[1]Hugst!$R$4:$W$4,0))))</f>
        <v>503.31550169399378</v>
      </c>
      <c r="H141">
        <f ca="1">IF($C141-H$1&lt;År1,0,G140*(1-VLOOKUP($A141,[1]Hugst!$R$5:$W$9,MATCH(ROUNDUP((H$1)/10,0)*10,[1]Hugst!$R$4:$W$4,0))))</f>
        <v>503.82502462231758</v>
      </c>
      <c r="I141">
        <f ca="1">IF($C141-I$1&lt;År1,0,H140*(1-VLOOKUP($A141,[1]Hugst!$R$5:$W$9,MATCH(ROUNDUP((I$1)/10,0)*10,[1]Hugst!$R$4:$W$4,0))))</f>
        <v>504.33710796736972</v>
      </c>
      <c r="J141">
        <f ca="1">IF($C141-J$1&lt;År1,0,I140*(1-VLOOKUP($A141,[1]Hugst!$R$5:$W$9,MATCH(ROUNDUP((J$1)/10,0)*10,[1]Hugst!$R$4:$W$4,0))))</f>
        <v>504.85176459555504</v>
      </c>
      <c r="K141">
        <f ca="1">IF($C141-K$1&lt;År1,0,J140*(1-VLOOKUP($A141,[1]Hugst!$R$5:$W$9,MATCH(ROUNDUP((K$1)/10,0)*10,[1]Hugst!$R$4:$W$4,0))))</f>
        <v>359.21612054433638</v>
      </c>
      <c r="L141">
        <f ca="1">IF($C141-L$1&lt;År1,0,K140*(1-VLOOKUP($A141,[1]Hugst!$R$5:$W$9,MATCH(ROUNDUP((L$1)/10,0)*10,[1]Hugst!$R$4:$W$4,0))))</f>
        <v>359.73596259699673</v>
      </c>
      <c r="M141">
        <f ca="1">IF($C141-M$1&lt;År1,0,L140*(1-VLOOKUP($A141,[1]Hugst!$R$5:$W$9,MATCH(ROUNDUP((M$1)/10,0)*10,[1]Hugst!$R$4:$W$4,0))))</f>
        <v>360.2584169212887</v>
      </c>
      <c r="N141">
        <f ca="1">IF($C141-N$1&lt;År1,0,M140*(1-VLOOKUP($A141,[1]Hugst!$R$5:$W$9,MATCH(ROUNDUP((N$1)/10,0)*10,[1]Hugst!$R$4:$W$4,0))))</f>
        <v>360.7834966441892</v>
      </c>
      <c r="O141">
        <f ca="1">IF($C141-O$1&lt;År1,0,N140*(1-VLOOKUP($A141,[1]Hugst!$R$5:$W$9,MATCH(ROUNDUP((O$1)/10,0)*10,[1]Hugst!$R$4:$W$4,0))))</f>
        <v>361.31121495866228</v>
      </c>
      <c r="P141">
        <f ca="1">IF($C141-P$1&lt;År1,0,O140*(1-VLOOKUP($A141,[1]Hugst!$R$5:$W$9,MATCH(ROUNDUP((P$1)/10,0)*10,[1]Hugst!$R$4:$W$4,0))))</f>
        <v>361.84158512396232</v>
      </c>
      <c r="Q141">
        <f ca="1">IF($C141-Q$1&lt;År1,0,P140*(1-VLOOKUP($A141,[1]Hugst!$R$5:$W$9,MATCH(ROUNDUP((Q$1)/10,0)*10,[1]Hugst!$R$4:$W$4,0))))</f>
        <v>362.37462046597341</v>
      </c>
      <c r="R141">
        <f ca="1">IF($C141-R$1&lt;År1,0,Q140*(1-VLOOKUP($A141,[1]Hugst!$R$5:$W$9,MATCH(ROUNDUP((R$1)/10,0)*10,[1]Hugst!$R$4:$W$4,0))))</f>
        <v>362.9103343775422</v>
      </c>
      <c r="S141">
        <f ca="1">IF($C141-S$1&lt;År1,0,R140*(1-VLOOKUP($A141,[1]Hugst!$R$5:$W$9,MATCH(ROUNDUP((S$1)/10,0)*10,[1]Hugst!$R$4:$W$4,0))))</f>
        <v>363.44874031881761</v>
      </c>
      <c r="T141">
        <f ca="1">IF($C141-T$1&lt;År1,0,S140*(1-VLOOKUP($A141,[1]Hugst!$R$5:$W$9,MATCH(ROUNDUP((T$1)/10,0)*10,[1]Hugst!$R$4:$W$4,0))))</f>
        <v>363.98985181758314</v>
      </c>
      <c r="U141">
        <f ca="1">IF($C141-U$1&lt;År1,0,T140*(1-VLOOKUP($A141,[1]Hugst!$R$5:$W$9,MATCH(ROUNDUP((U$1)/10,0)*10,[1]Hugst!$R$4:$W$4,0))))</f>
        <v>364.53368246961463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502.30408594319869</v>
      </c>
      <c r="G142">
        <f ca="1">IF($C142-G$1&lt;År1,0,F141*(1-VLOOKUP($A142,[1]Hugst!$R$5:$W$9,MATCH(ROUNDUP((G$1)/10,0)*10,[1]Hugst!$R$4:$W$4,0))))</f>
        <v>502.80852638031337</v>
      </c>
      <c r="H142">
        <f ca="1">IF($C142-H$1&lt;År1,0,G141*(1-VLOOKUP($A142,[1]Hugst!$R$5:$W$9,MATCH(ROUNDUP((H$1)/10,0)*10,[1]Hugst!$R$4:$W$4,0))))</f>
        <v>503.31550169399378</v>
      </c>
      <c r="I142">
        <f ca="1">IF($C142-I$1&lt;År1,0,H141*(1-VLOOKUP($A142,[1]Hugst!$R$5:$W$9,MATCH(ROUNDUP((I$1)/10,0)*10,[1]Hugst!$R$4:$W$4,0))))</f>
        <v>503.82502462231758</v>
      </c>
      <c r="J142">
        <f ca="1">IF($C142-J$1&lt;År1,0,I141*(1-VLOOKUP($A142,[1]Hugst!$R$5:$W$9,MATCH(ROUNDUP((J$1)/10,0)*10,[1]Hugst!$R$4:$W$4,0))))</f>
        <v>504.33710796736972</v>
      </c>
      <c r="K142">
        <f ca="1">IF($C142-K$1&lt;År1,0,J141*(1-VLOOKUP($A142,[1]Hugst!$R$5:$W$9,MATCH(ROUNDUP((K$1)/10,0)*10,[1]Hugst!$R$4:$W$4,0))))</f>
        <v>504.85176459555504</v>
      </c>
      <c r="L142">
        <f ca="1">IF($C142-L$1&lt;År1,0,K141*(1-VLOOKUP($A142,[1]Hugst!$R$5:$W$9,MATCH(ROUNDUP((L$1)/10,0)*10,[1]Hugst!$R$4:$W$4,0))))</f>
        <v>359.21612054433638</v>
      </c>
      <c r="M142">
        <f ca="1">IF($C142-M$1&lt;År1,0,L141*(1-VLOOKUP($A142,[1]Hugst!$R$5:$W$9,MATCH(ROUNDUP((M$1)/10,0)*10,[1]Hugst!$R$4:$W$4,0))))</f>
        <v>359.73596259699673</v>
      </c>
      <c r="N142">
        <f ca="1">IF($C142-N$1&lt;År1,0,M141*(1-VLOOKUP($A142,[1]Hugst!$R$5:$W$9,MATCH(ROUNDUP((N$1)/10,0)*10,[1]Hugst!$R$4:$W$4,0))))</f>
        <v>360.2584169212887</v>
      </c>
      <c r="O142">
        <f ca="1">IF($C142-O$1&lt;År1,0,N141*(1-VLOOKUP($A142,[1]Hugst!$R$5:$W$9,MATCH(ROUNDUP((O$1)/10,0)*10,[1]Hugst!$R$4:$W$4,0))))</f>
        <v>360.7834966441892</v>
      </c>
      <c r="P142">
        <f ca="1">IF($C142-P$1&lt;År1,0,O141*(1-VLOOKUP($A142,[1]Hugst!$R$5:$W$9,MATCH(ROUNDUP((P$1)/10,0)*10,[1]Hugst!$R$4:$W$4,0))))</f>
        <v>361.31121495866228</v>
      </c>
      <c r="Q142">
        <f ca="1">IF($C142-Q$1&lt;År1,0,P141*(1-VLOOKUP($A142,[1]Hugst!$R$5:$W$9,MATCH(ROUNDUP((Q$1)/10,0)*10,[1]Hugst!$R$4:$W$4,0))))</f>
        <v>361.84158512396232</v>
      </c>
      <c r="R142">
        <f ca="1">IF($C142-R$1&lt;År1,0,Q141*(1-VLOOKUP($A142,[1]Hugst!$R$5:$W$9,MATCH(ROUNDUP((R$1)/10,0)*10,[1]Hugst!$R$4:$W$4,0))))</f>
        <v>362.37462046597341</v>
      </c>
      <c r="S142">
        <f ca="1">IF($C142-S$1&lt;År1,0,R141*(1-VLOOKUP($A142,[1]Hugst!$R$5:$W$9,MATCH(ROUNDUP((S$1)/10,0)*10,[1]Hugst!$R$4:$W$4,0))))</f>
        <v>362.9103343775422</v>
      </c>
      <c r="T142">
        <f ca="1">IF($C142-T$1&lt;År1,0,S141*(1-VLOOKUP($A142,[1]Hugst!$R$5:$W$9,MATCH(ROUNDUP((T$1)/10,0)*10,[1]Hugst!$R$4:$W$4,0))))</f>
        <v>363.44874031881761</v>
      </c>
      <c r="U142">
        <f ca="1">IF($C142-U$1&lt;År1,0,T141*(1-VLOOKUP($A142,[1]Hugst!$R$5:$W$9,MATCH(ROUNDUP((U$1)/10,0)*10,[1]Hugst!$R$4:$W$4,0))))</f>
        <v>363.98985181758314</v>
      </c>
      <c r="V142">
        <f ca="1">IF($C142-V$1&lt;År1,0,U141*(1-VLOOKUP($A142,[1]Hugst!$R$5:$W$9,MATCH(ROUNDUP((V$1)/10,0)*10,[1]Hugst!$R$4:$W$4,0))))</f>
        <v>364.53368246961463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501.80216770826922</v>
      </c>
      <c r="G143">
        <f ca="1">IF($C143-G$1&lt;År1,0,F142*(1-VLOOKUP($A143,[1]Hugst!$R$5:$W$9,MATCH(ROUNDUP((G$1)/10,0)*10,[1]Hugst!$R$4:$W$4,0))))</f>
        <v>502.30408594319869</v>
      </c>
      <c r="H143">
        <f ca="1">IF($C143-H$1&lt;År1,0,G142*(1-VLOOKUP($A143,[1]Hugst!$R$5:$W$9,MATCH(ROUNDUP((H$1)/10,0)*10,[1]Hugst!$R$4:$W$4,0))))</f>
        <v>502.80852638031337</v>
      </c>
      <c r="I143">
        <f ca="1">IF($C143-I$1&lt;År1,0,H142*(1-VLOOKUP($A143,[1]Hugst!$R$5:$W$9,MATCH(ROUNDUP((I$1)/10,0)*10,[1]Hugst!$R$4:$W$4,0))))</f>
        <v>503.31550169399378</v>
      </c>
      <c r="J143">
        <f ca="1">IF($C143-J$1&lt;År1,0,I142*(1-VLOOKUP($A143,[1]Hugst!$R$5:$W$9,MATCH(ROUNDUP((J$1)/10,0)*10,[1]Hugst!$R$4:$W$4,0))))</f>
        <v>503.82502462231758</v>
      </c>
      <c r="K143">
        <f ca="1">IF($C143-K$1&lt;År1,0,J142*(1-VLOOKUP($A143,[1]Hugst!$R$5:$W$9,MATCH(ROUNDUP((K$1)/10,0)*10,[1]Hugst!$R$4:$W$4,0))))</f>
        <v>504.33710796736972</v>
      </c>
      <c r="L143">
        <f ca="1">IF($C143-L$1&lt;År1,0,K142*(1-VLOOKUP($A143,[1]Hugst!$R$5:$W$9,MATCH(ROUNDUP((L$1)/10,0)*10,[1]Hugst!$R$4:$W$4,0))))</f>
        <v>504.85176459555504</v>
      </c>
      <c r="M143">
        <f ca="1">IF($C143-M$1&lt;År1,0,L142*(1-VLOOKUP($A143,[1]Hugst!$R$5:$W$9,MATCH(ROUNDUP((M$1)/10,0)*10,[1]Hugst!$R$4:$W$4,0))))</f>
        <v>359.21612054433638</v>
      </c>
      <c r="N143">
        <f ca="1">IF($C143-N$1&lt;År1,0,M142*(1-VLOOKUP($A143,[1]Hugst!$R$5:$W$9,MATCH(ROUNDUP((N$1)/10,0)*10,[1]Hugst!$R$4:$W$4,0))))</f>
        <v>359.73596259699673</v>
      </c>
      <c r="O143">
        <f ca="1">IF($C143-O$1&lt;År1,0,N142*(1-VLOOKUP($A143,[1]Hugst!$R$5:$W$9,MATCH(ROUNDUP((O$1)/10,0)*10,[1]Hugst!$R$4:$W$4,0))))</f>
        <v>360.2584169212887</v>
      </c>
      <c r="P143">
        <f ca="1">IF($C143-P$1&lt;År1,0,O142*(1-VLOOKUP($A143,[1]Hugst!$R$5:$W$9,MATCH(ROUNDUP((P$1)/10,0)*10,[1]Hugst!$R$4:$W$4,0))))</f>
        <v>360.7834966441892</v>
      </c>
      <c r="Q143">
        <f ca="1">IF($C143-Q$1&lt;År1,0,P142*(1-VLOOKUP($A143,[1]Hugst!$R$5:$W$9,MATCH(ROUNDUP((Q$1)/10,0)*10,[1]Hugst!$R$4:$W$4,0))))</f>
        <v>361.31121495866228</v>
      </c>
      <c r="R143">
        <f ca="1">IF($C143-R$1&lt;År1,0,Q142*(1-VLOOKUP($A143,[1]Hugst!$R$5:$W$9,MATCH(ROUNDUP((R$1)/10,0)*10,[1]Hugst!$R$4:$W$4,0))))</f>
        <v>361.84158512396232</v>
      </c>
      <c r="S143">
        <f ca="1">IF($C143-S$1&lt;År1,0,R142*(1-VLOOKUP($A143,[1]Hugst!$R$5:$W$9,MATCH(ROUNDUP((S$1)/10,0)*10,[1]Hugst!$R$4:$W$4,0))))</f>
        <v>362.37462046597341</v>
      </c>
      <c r="T143">
        <f ca="1">IF($C143-T$1&lt;År1,0,S142*(1-VLOOKUP($A143,[1]Hugst!$R$5:$W$9,MATCH(ROUNDUP((T$1)/10,0)*10,[1]Hugst!$R$4:$W$4,0))))</f>
        <v>362.9103343775422</v>
      </c>
      <c r="U143">
        <f ca="1">IF($C143-U$1&lt;År1,0,T142*(1-VLOOKUP($A143,[1]Hugst!$R$5:$W$9,MATCH(ROUNDUP((U$1)/10,0)*10,[1]Hugst!$R$4:$W$4,0))))</f>
        <v>363.44874031881761</v>
      </c>
      <c r="V143">
        <f ca="1">IF($C143-V$1&lt;År1,0,U142*(1-VLOOKUP($A143,[1]Hugst!$R$5:$W$9,MATCH(ROUNDUP((V$1)/10,0)*10,[1]Hugst!$R$4:$W$4,0))))</f>
        <v>363.98985181758314</v>
      </c>
      <c r="W143">
        <f ca="1">IF($C143-W$1&lt;År1,0,V142*(1-VLOOKUP($A143,[1]Hugst!$R$5:$W$9,MATCH(ROUNDUP((W$1)/10,0)*10,[1]Hugst!$R$4:$W$4,0))))</f>
        <v>364.53368246961463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501.30275906451851</v>
      </c>
      <c r="G144">
        <f ca="1">IF($C144-G$1&lt;År1,0,F143*(1-VLOOKUP($A144,[1]Hugst!$R$5:$W$9,MATCH(ROUNDUP((G$1)/10,0)*10,[1]Hugst!$R$4:$W$4,0))))</f>
        <v>501.80216770826922</v>
      </c>
      <c r="H144">
        <f ca="1">IF($C144-H$1&lt;År1,0,G143*(1-VLOOKUP($A144,[1]Hugst!$R$5:$W$9,MATCH(ROUNDUP((H$1)/10,0)*10,[1]Hugst!$R$4:$W$4,0))))</f>
        <v>502.30408594319869</v>
      </c>
      <c r="I144">
        <f ca="1">IF($C144-I$1&lt;År1,0,H143*(1-VLOOKUP($A144,[1]Hugst!$R$5:$W$9,MATCH(ROUNDUP((I$1)/10,0)*10,[1]Hugst!$R$4:$W$4,0))))</f>
        <v>502.80852638031337</v>
      </c>
      <c r="J144">
        <f ca="1">IF($C144-J$1&lt;År1,0,I143*(1-VLOOKUP($A144,[1]Hugst!$R$5:$W$9,MATCH(ROUNDUP((J$1)/10,0)*10,[1]Hugst!$R$4:$W$4,0))))</f>
        <v>503.31550169399378</v>
      </c>
      <c r="K144">
        <f ca="1">IF($C144-K$1&lt;År1,0,J143*(1-VLOOKUP($A144,[1]Hugst!$R$5:$W$9,MATCH(ROUNDUP((K$1)/10,0)*10,[1]Hugst!$R$4:$W$4,0))))</f>
        <v>503.82502462231758</v>
      </c>
      <c r="L144">
        <f ca="1">IF($C144-L$1&lt;År1,0,K143*(1-VLOOKUP($A144,[1]Hugst!$R$5:$W$9,MATCH(ROUNDUP((L$1)/10,0)*10,[1]Hugst!$R$4:$W$4,0))))</f>
        <v>504.33710796736972</v>
      </c>
      <c r="M144">
        <f ca="1">IF($C144-M$1&lt;År1,0,L143*(1-VLOOKUP($A144,[1]Hugst!$R$5:$W$9,MATCH(ROUNDUP((M$1)/10,0)*10,[1]Hugst!$R$4:$W$4,0))))</f>
        <v>504.85176459555504</v>
      </c>
      <c r="N144">
        <f ca="1">IF($C144-N$1&lt;År1,0,M143*(1-VLOOKUP($A144,[1]Hugst!$R$5:$W$9,MATCH(ROUNDUP((N$1)/10,0)*10,[1]Hugst!$R$4:$W$4,0))))</f>
        <v>359.21612054433638</v>
      </c>
      <c r="O144">
        <f ca="1">IF($C144-O$1&lt;År1,0,N143*(1-VLOOKUP($A144,[1]Hugst!$R$5:$W$9,MATCH(ROUNDUP((O$1)/10,0)*10,[1]Hugst!$R$4:$W$4,0))))</f>
        <v>359.73596259699673</v>
      </c>
      <c r="P144">
        <f ca="1">IF($C144-P$1&lt;År1,0,O143*(1-VLOOKUP($A144,[1]Hugst!$R$5:$W$9,MATCH(ROUNDUP((P$1)/10,0)*10,[1]Hugst!$R$4:$W$4,0))))</f>
        <v>360.2584169212887</v>
      </c>
      <c r="Q144">
        <f ca="1">IF($C144-Q$1&lt;År1,0,P143*(1-VLOOKUP($A144,[1]Hugst!$R$5:$W$9,MATCH(ROUNDUP((Q$1)/10,0)*10,[1]Hugst!$R$4:$W$4,0))))</f>
        <v>360.7834966441892</v>
      </c>
      <c r="R144">
        <f ca="1">IF($C144-R$1&lt;År1,0,Q143*(1-VLOOKUP($A144,[1]Hugst!$R$5:$W$9,MATCH(ROUNDUP((R$1)/10,0)*10,[1]Hugst!$R$4:$W$4,0))))</f>
        <v>361.31121495866228</v>
      </c>
      <c r="S144">
        <f ca="1">IF($C144-S$1&lt;År1,0,R143*(1-VLOOKUP($A144,[1]Hugst!$R$5:$W$9,MATCH(ROUNDUP((S$1)/10,0)*10,[1]Hugst!$R$4:$W$4,0))))</f>
        <v>361.84158512396232</v>
      </c>
      <c r="T144">
        <f ca="1">IF($C144-T$1&lt;År1,0,S143*(1-VLOOKUP($A144,[1]Hugst!$R$5:$W$9,MATCH(ROUNDUP((T$1)/10,0)*10,[1]Hugst!$R$4:$W$4,0))))</f>
        <v>362.37462046597341</v>
      </c>
      <c r="U144">
        <f ca="1">IF($C144-U$1&lt;År1,0,T143*(1-VLOOKUP($A144,[1]Hugst!$R$5:$W$9,MATCH(ROUNDUP((U$1)/10,0)*10,[1]Hugst!$R$4:$W$4,0))))</f>
        <v>362.9103343775422</v>
      </c>
      <c r="V144">
        <f ca="1">IF($C144-V$1&lt;År1,0,U143*(1-VLOOKUP($A144,[1]Hugst!$R$5:$W$9,MATCH(ROUNDUP((V$1)/10,0)*10,[1]Hugst!$R$4:$W$4,0))))</f>
        <v>363.44874031881761</v>
      </c>
      <c r="W144">
        <f ca="1">IF($C144-W$1&lt;År1,0,V143*(1-VLOOKUP($A144,[1]Hugst!$R$5:$W$9,MATCH(ROUNDUP((W$1)/10,0)*10,[1]Hugst!$R$4:$W$4,0))))</f>
        <v>363.98985181758314</v>
      </c>
      <c r="X144">
        <f ca="1">IF($C144-X$1&lt;År1,0,W143*(1-VLOOKUP($A144,[1]Hugst!$R$5:$W$9,MATCH(ROUNDUP((X$1)/10,0)*10,[1]Hugst!$R$4:$W$4,0))))</f>
        <v>364.53368246961463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500.80584746397761</v>
      </c>
      <c r="G145">
        <f ca="1">IF($C145-G$1&lt;År1,0,F144*(1-VLOOKUP($A145,[1]Hugst!$R$5:$W$9,MATCH(ROUNDUP((G$1)/10,0)*10,[1]Hugst!$R$4:$W$4,0))))</f>
        <v>501.30275906451851</v>
      </c>
      <c r="H145">
        <f ca="1">IF($C145-H$1&lt;År1,0,G144*(1-VLOOKUP($A145,[1]Hugst!$R$5:$W$9,MATCH(ROUNDUP((H$1)/10,0)*10,[1]Hugst!$R$4:$W$4,0))))</f>
        <v>501.80216770826922</v>
      </c>
      <c r="I145">
        <f ca="1">IF($C145-I$1&lt;År1,0,H144*(1-VLOOKUP($A145,[1]Hugst!$R$5:$W$9,MATCH(ROUNDUP((I$1)/10,0)*10,[1]Hugst!$R$4:$W$4,0))))</f>
        <v>502.30408594319869</v>
      </c>
      <c r="J145">
        <f ca="1">IF($C145-J$1&lt;År1,0,I144*(1-VLOOKUP($A145,[1]Hugst!$R$5:$W$9,MATCH(ROUNDUP((J$1)/10,0)*10,[1]Hugst!$R$4:$W$4,0))))</f>
        <v>502.80852638031337</v>
      </c>
      <c r="K145">
        <f ca="1">IF($C145-K$1&lt;År1,0,J144*(1-VLOOKUP($A145,[1]Hugst!$R$5:$W$9,MATCH(ROUNDUP((K$1)/10,0)*10,[1]Hugst!$R$4:$W$4,0))))</f>
        <v>503.31550169399378</v>
      </c>
      <c r="L145">
        <f ca="1">IF($C145-L$1&lt;År1,0,K144*(1-VLOOKUP($A145,[1]Hugst!$R$5:$W$9,MATCH(ROUNDUP((L$1)/10,0)*10,[1]Hugst!$R$4:$W$4,0))))</f>
        <v>503.82502462231758</v>
      </c>
      <c r="M145">
        <f ca="1">IF($C145-M$1&lt;År1,0,L144*(1-VLOOKUP($A145,[1]Hugst!$R$5:$W$9,MATCH(ROUNDUP((M$1)/10,0)*10,[1]Hugst!$R$4:$W$4,0))))</f>
        <v>504.33710796736972</v>
      </c>
      <c r="N145">
        <f ca="1">IF($C145-N$1&lt;År1,0,M144*(1-VLOOKUP($A145,[1]Hugst!$R$5:$W$9,MATCH(ROUNDUP((N$1)/10,0)*10,[1]Hugst!$R$4:$W$4,0))))</f>
        <v>504.85176459555504</v>
      </c>
      <c r="O145">
        <f ca="1">IF($C145-O$1&lt;År1,0,N144*(1-VLOOKUP($A145,[1]Hugst!$R$5:$W$9,MATCH(ROUNDUP((O$1)/10,0)*10,[1]Hugst!$R$4:$W$4,0))))</f>
        <v>359.21612054433638</v>
      </c>
      <c r="P145">
        <f ca="1">IF($C145-P$1&lt;År1,0,O144*(1-VLOOKUP($A145,[1]Hugst!$R$5:$W$9,MATCH(ROUNDUP((P$1)/10,0)*10,[1]Hugst!$R$4:$W$4,0))))</f>
        <v>359.73596259699673</v>
      </c>
      <c r="Q145">
        <f ca="1">IF($C145-Q$1&lt;År1,0,P144*(1-VLOOKUP($A145,[1]Hugst!$R$5:$W$9,MATCH(ROUNDUP((Q$1)/10,0)*10,[1]Hugst!$R$4:$W$4,0))))</f>
        <v>360.2584169212887</v>
      </c>
      <c r="R145">
        <f ca="1">IF($C145-R$1&lt;År1,0,Q144*(1-VLOOKUP($A145,[1]Hugst!$R$5:$W$9,MATCH(ROUNDUP((R$1)/10,0)*10,[1]Hugst!$R$4:$W$4,0))))</f>
        <v>360.7834966441892</v>
      </c>
      <c r="S145">
        <f ca="1">IF($C145-S$1&lt;År1,0,R144*(1-VLOOKUP($A145,[1]Hugst!$R$5:$W$9,MATCH(ROUNDUP((S$1)/10,0)*10,[1]Hugst!$R$4:$W$4,0))))</f>
        <v>361.31121495866228</v>
      </c>
      <c r="T145">
        <f ca="1">IF($C145-T$1&lt;År1,0,S144*(1-VLOOKUP($A145,[1]Hugst!$R$5:$W$9,MATCH(ROUNDUP((T$1)/10,0)*10,[1]Hugst!$R$4:$W$4,0))))</f>
        <v>361.84158512396232</v>
      </c>
      <c r="U145">
        <f ca="1">IF($C145-U$1&lt;År1,0,T144*(1-VLOOKUP($A145,[1]Hugst!$R$5:$W$9,MATCH(ROUNDUP((U$1)/10,0)*10,[1]Hugst!$R$4:$W$4,0))))</f>
        <v>362.37462046597341</v>
      </c>
      <c r="V145">
        <f ca="1">IF($C145-V$1&lt;År1,0,U144*(1-VLOOKUP($A145,[1]Hugst!$R$5:$W$9,MATCH(ROUNDUP((V$1)/10,0)*10,[1]Hugst!$R$4:$W$4,0))))</f>
        <v>362.9103343775422</v>
      </c>
      <c r="W145">
        <f ca="1">IF($C145-W$1&lt;År1,0,V144*(1-VLOOKUP($A145,[1]Hugst!$R$5:$W$9,MATCH(ROUNDUP((W$1)/10,0)*10,[1]Hugst!$R$4:$W$4,0))))</f>
        <v>363.44874031881761</v>
      </c>
      <c r="X145">
        <f ca="1">IF($C145-X$1&lt;År1,0,W144*(1-VLOOKUP($A145,[1]Hugst!$R$5:$W$9,MATCH(ROUNDUP((X$1)/10,0)*10,[1]Hugst!$R$4:$W$4,0))))</f>
        <v>363.98985181758314</v>
      </c>
      <c r="Y145">
        <f ca="1">IF($C145-Y$1&lt;År1,0,X144*(1-VLOOKUP($A145,[1]Hugst!$R$5:$W$9,MATCH(ROUNDUP((Y$1)/10,0)*10,[1]Hugst!$R$4:$W$4,0))))</f>
        <v>364.53368246961463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500.31142042144751</v>
      </c>
      <c r="G146">
        <f ca="1">IF($C146-G$1&lt;År1,0,F145*(1-VLOOKUP($A146,[1]Hugst!$R$5:$W$9,MATCH(ROUNDUP((G$1)/10,0)*10,[1]Hugst!$R$4:$W$4,0))))</f>
        <v>500.80584746397761</v>
      </c>
      <c r="H146">
        <f ca="1">IF($C146-H$1&lt;År1,0,G145*(1-VLOOKUP($A146,[1]Hugst!$R$5:$W$9,MATCH(ROUNDUP((H$1)/10,0)*10,[1]Hugst!$R$4:$W$4,0))))</f>
        <v>501.30275906451851</v>
      </c>
      <c r="I146">
        <f ca="1">IF($C146-I$1&lt;År1,0,H145*(1-VLOOKUP($A146,[1]Hugst!$R$5:$W$9,MATCH(ROUNDUP((I$1)/10,0)*10,[1]Hugst!$R$4:$W$4,0))))</f>
        <v>501.80216770826922</v>
      </c>
      <c r="J146">
        <f ca="1">IF($C146-J$1&lt;År1,0,I145*(1-VLOOKUP($A146,[1]Hugst!$R$5:$W$9,MATCH(ROUNDUP((J$1)/10,0)*10,[1]Hugst!$R$4:$W$4,0))))</f>
        <v>502.30408594319869</v>
      </c>
      <c r="K146">
        <f ca="1">IF($C146-K$1&lt;År1,0,J145*(1-VLOOKUP($A146,[1]Hugst!$R$5:$W$9,MATCH(ROUNDUP((K$1)/10,0)*10,[1]Hugst!$R$4:$W$4,0))))</f>
        <v>502.80852638031337</v>
      </c>
      <c r="L146">
        <f ca="1">IF($C146-L$1&lt;År1,0,K145*(1-VLOOKUP($A146,[1]Hugst!$R$5:$W$9,MATCH(ROUNDUP((L$1)/10,0)*10,[1]Hugst!$R$4:$W$4,0))))</f>
        <v>503.31550169399378</v>
      </c>
      <c r="M146">
        <f ca="1">IF($C146-M$1&lt;År1,0,L145*(1-VLOOKUP($A146,[1]Hugst!$R$5:$W$9,MATCH(ROUNDUP((M$1)/10,0)*10,[1]Hugst!$R$4:$W$4,0))))</f>
        <v>503.82502462231758</v>
      </c>
      <c r="N146">
        <f ca="1">IF($C146-N$1&lt;År1,0,M145*(1-VLOOKUP($A146,[1]Hugst!$R$5:$W$9,MATCH(ROUNDUP((N$1)/10,0)*10,[1]Hugst!$R$4:$W$4,0))))</f>
        <v>504.33710796736972</v>
      </c>
      <c r="O146">
        <f ca="1">IF($C146-O$1&lt;År1,0,N145*(1-VLOOKUP($A146,[1]Hugst!$R$5:$W$9,MATCH(ROUNDUP((O$1)/10,0)*10,[1]Hugst!$R$4:$W$4,0))))</f>
        <v>504.85176459555504</v>
      </c>
      <c r="P146">
        <f ca="1">IF($C146-P$1&lt;År1,0,O145*(1-VLOOKUP($A146,[1]Hugst!$R$5:$W$9,MATCH(ROUNDUP((P$1)/10,0)*10,[1]Hugst!$R$4:$W$4,0))))</f>
        <v>359.21612054433638</v>
      </c>
      <c r="Q146">
        <f ca="1">IF($C146-Q$1&lt;År1,0,P145*(1-VLOOKUP($A146,[1]Hugst!$R$5:$W$9,MATCH(ROUNDUP((Q$1)/10,0)*10,[1]Hugst!$R$4:$W$4,0))))</f>
        <v>359.73596259699673</v>
      </c>
      <c r="R146">
        <f ca="1">IF($C146-R$1&lt;År1,0,Q145*(1-VLOOKUP($A146,[1]Hugst!$R$5:$W$9,MATCH(ROUNDUP((R$1)/10,0)*10,[1]Hugst!$R$4:$W$4,0))))</f>
        <v>360.2584169212887</v>
      </c>
      <c r="S146">
        <f ca="1">IF($C146-S$1&lt;År1,0,R145*(1-VLOOKUP($A146,[1]Hugst!$R$5:$W$9,MATCH(ROUNDUP((S$1)/10,0)*10,[1]Hugst!$R$4:$W$4,0))))</f>
        <v>360.7834966441892</v>
      </c>
      <c r="T146">
        <f ca="1">IF($C146-T$1&lt;År1,0,S145*(1-VLOOKUP($A146,[1]Hugst!$R$5:$W$9,MATCH(ROUNDUP((T$1)/10,0)*10,[1]Hugst!$R$4:$W$4,0))))</f>
        <v>361.31121495866228</v>
      </c>
      <c r="U146">
        <f ca="1">IF($C146-U$1&lt;År1,0,T145*(1-VLOOKUP($A146,[1]Hugst!$R$5:$W$9,MATCH(ROUNDUP((U$1)/10,0)*10,[1]Hugst!$R$4:$W$4,0))))</f>
        <v>361.84158512396232</v>
      </c>
      <c r="V146">
        <f ca="1">IF($C146-V$1&lt;År1,0,U145*(1-VLOOKUP($A146,[1]Hugst!$R$5:$W$9,MATCH(ROUNDUP((V$1)/10,0)*10,[1]Hugst!$R$4:$W$4,0))))</f>
        <v>362.37462046597341</v>
      </c>
      <c r="W146">
        <f ca="1">IF($C146-W$1&lt;År1,0,V145*(1-VLOOKUP($A146,[1]Hugst!$R$5:$W$9,MATCH(ROUNDUP((W$1)/10,0)*10,[1]Hugst!$R$4:$W$4,0))))</f>
        <v>362.9103343775422</v>
      </c>
      <c r="X146">
        <f ca="1">IF($C146-X$1&lt;År1,0,W145*(1-VLOOKUP($A146,[1]Hugst!$R$5:$W$9,MATCH(ROUNDUP((X$1)/10,0)*10,[1]Hugst!$R$4:$W$4,0))))</f>
        <v>363.44874031881761</v>
      </c>
      <c r="Y146">
        <f ca="1">IF($C146-Y$1&lt;År1,0,X145*(1-VLOOKUP($A146,[1]Hugst!$R$5:$W$9,MATCH(ROUNDUP((Y$1)/10,0)*10,[1]Hugst!$R$4:$W$4,0))))</f>
        <v>363.98985181758314</v>
      </c>
      <c r="Z146">
        <f ca="1">IF($C146-Z$1&lt;År1,0,Y145*(1-VLOOKUP($A146,[1]Hugst!$R$5:$W$9,MATCH(ROUNDUP((Z$1)/10,0)*10,[1]Hugst!$R$4:$W$4,0))))</f>
        <v>364.53368246961463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499.8194655141296</v>
      </c>
      <c r="G147">
        <f ca="1">IF($C147-G$1&lt;År1,0,F146*(1-VLOOKUP($A147,[1]Hugst!$R$5:$W$9,MATCH(ROUNDUP((G$1)/10,0)*10,[1]Hugst!$R$4:$W$4,0))))</f>
        <v>500.31142042144751</v>
      </c>
      <c r="H147">
        <f ca="1">IF($C147-H$1&lt;År1,0,G146*(1-VLOOKUP($A147,[1]Hugst!$R$5:$W$9,MATCH(ROUNDUP((H$1)/10,0)*10,[1]Hugst!$R$4:$W$4,0))))</f>
        <v>500.80584746397761</v>
      </c>
      <c r="I147">
        <f ca="1">IF($C147-I$1&lt;År1,0,H146*(1-VLOOKUP($A147,[1]Hugst!$R$5:$W$9,MATCH(ROUNDUP((I$1)/10,0)*10,[1]Hugst!$R$4:$W$4,0))))</f>
        <v>501.30275906451851</v>
      </c>
      <c r="J147">
        <f ca="1">IF($C147-J$1&lt;År1,0,I146*(1-VLOOKUP($A147,[1]Hugst!$R$5:$W$9,MATCH(ROUNDUP((J$1)/10,0)*10,[1]Hugst!$R$4:$W$4,0))))</f>
        <v>501.80216770826922</v>
      </c>
      <c r="K147">
        <f ca="1">IF($C147-K$1&lt;År1,0,J146*(1-VLOOKUP($A147,[1]Hugst!$R$5:$W$9,MATCH(ROUNDUP((K$1)/10,0)*10,[1]Hugst!$R$4:$W$4,0))))</f>
        <v>502.30408594319869</v>
      </c>
      <c r="L147">
        <f ca="1">IF($C147-L$1&lt;År1,0,K146*(1-VLOOKUP($A147,[1]Hugst!$R$5:$W$9,MATCH(ROUNDUP((L$1)/10,0)*10,[1]Hugst!$R$4:$W$4,0))))</f>
        <v>502.80852638031337</v>
      </c>
      <c r="M147">
        <f ca="1">IF($C147-M$1&lt;År1,0,L146*(1-VLOOKUP($A147,[1]Hugst!$R$5:$W$9,MATCH(ROUNDUP((M$1)/10,0)*10,[1]Hugst!$R$4:$W$4,0))))</f>
        <v>503.31550169399378</v>
      </c>
      <c r="N147">
        <f ca="1">IF($C147-N$1&lt;År1,0,M146*(1-VLOOKUP($A147,[1]Hugst!$R$5:$W$9,MATCH(ROUNDUP((N$1)/10,0)*10,[1]Hugst!$R$4:$W$4,0))))</f>
        <v>503.82502462231758</v>
      </c>
      <c r="O147">
        <f ca="1">IF($C147-O$1&lt;År1,0,N146*(1-VLOOKUP($A147,[1]Hugst!$R$5:$W$9,MATCH(ROUNDUP((O$1)/10,0)*10,[1]Hugst!$R$4:$W$4,0))))</f>
        <v>504.33710796736972</v>
      </c>
      <c r="P147">
        <f ca="1">IF($C147-P$1&lt;År1,0,O146*(1-VLOOKUP($A147,[1]Hugst!$R$5:$W$9,MATCH(ROUNDUP((P$1)/10,0)*10,[1]Hugst!$R$4:$W$4,0))))</f>
        <v>504.85176459555504</v>
      </c>
      <c r="Q147">
        <f ca="1">IF($C147-Q$1&lt;År1,0,P146*(1-VLOOKUP($A147,[1]Hugst!$R$5:$W$9,MATCH(ROUNDUP((Q$1)/10,0)*10,[1]Hugst!$R$4:$W$4,0))))</f>
        <v>359.21612054433638</v>
      </c>
      <c r="R147">
        <f ca="1">IF($C147-R$1&lt;År1,0,Q146*(1-VLOOKUP($A147,[1]Hugst!$R$5:$W$9,MATCH(ROUNDUP((R$1)/10,0)*10,[1]Hugst!$R$4:$W$4,0))))</f>
        <v>359.73596259699673</v>
      </c>
      <c r="S147">
        <f ca="1">IF($C147-S$1&lt;År1,0,R146*(1-VLOOKUP($A147,[1]Hugst!$R$5:$W$9,MATCH(ROUNDUP((S$1)/10,0)*10,[1]Hugst!$R$4:$W$4,0))))</f>
        <v>360.2584169212887</v>
      </c>
      <c r="T147">
        <f ca="1">IF($C147-T$1&lt;År1,0,S146*(1-VLOOKUP($A147,[1]Hugst!$R$5:$W$9,MATCH(ROUNDUP((T$1)/10,0)*10,[1]Hugst!$R$4:$W$4,0))))</f>
        <v>360.7834966441892</v>
      </c>
      <c r="U147">
        <f ca="1">IF($C147-U$1&lt;År1,0,T146*(1-VLOOKUP($A147,[1]Hugst!$R$5:$W$9,MATCH(ROUNDUP((U$1)/10,0)*10,[1]Hugst!$R$4:$W$4,0))))</f>
        <v>361.31121495866228</v>
      </c>
      <c r="V147">
        <f ca="1">IF($C147-V$1&lt;År1,0,U146*(1-VLOOKUP($A147,[1]Hugst!$R$5:$W$9,MATCH(ROUNDUP((V$1)/10,0)*10,[1]Hugst!$R$4:$W$4,0))))</f>
        <v>361.84158512396232</v>
      </c>
      <c r="W147">
        <f ca="1">IF($C147-W$1&lt;År1,0,V146*(1-VLOOKUP($A147,[1]Hugst!$R$5:$W$9,MATCH(ROUNDUP((W$1)/10,0)*10,[1]Hugst!$R$4:$W$4,0))))</f>
        <v>362.37462046597341</v>
      </c>
      <c r="X147">
        <f ca="1">IF($C147-X$1&lt;År1,0,W146*(1-VLOOKUP($A147,[1]Hugst!$R$5:$W$9,MATCH(ROUNDUP((X$1)/10,0)*10,[1]Hugst!$R$4:$W$4,0))))</f>
        <v>362.9103343775422</v>
      </c>
      <c r="Y147">
        <f ca="1">IF($C147-Y$1&lt;År1,0,X146*(1-VLOOKUP($A147,[1]Hugst!$R$5:$W$9,MATCH(ROUNDUP((Y$1)/10,0)*10,[1]Hugst!$R$4:$W$4,0))))</f>
        <v>363.44874031881761</v>
      </c>
      <c r="Z147">
        <f ca="1">IF($C147-Z$1&lt;År1,0,Y146*(1-VLOOKUP($A147,[1]Hugst!$R$5:$W$9,MATCH(ROUNDUP((Z$1)/10,0)*10,[1]Hugst!$R$4:$W$4,0))))</f>
        <v>363.98985181758314</v>
      </c>
      <c r="AA147">
        <f ca="1">IF($C147-AA$1&lt;År1,0,Z146*(1-VLOOKUP($A147,[1]Hugst!$R$5:$W$9,MATCH(ROUNDUP((AA$1)/10,0)*10,[1]Hugst!$R$4:$W$4,0))))</f>
        <v>364.53368246961463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499.32997038134494</v>
      </c>
      <c r="G148">
        <f ca="1">IF($C148-G$1&lt;År1,0,F147*(1-VLOOKUP($A148,[1]Hugst!$R$5:$W$9,MATCH(ROUNDUP((G$1)/10,0)*10,[1]Hugst!$R$4:$W$4,0))))</f>
        <v>499.8194655141296</v>
      </c>
      <c r="H148">
        <f ca="1">IF($C148-H$1&lt;År1,0,G147*(1-VLOOKUP($A148,[1]Hugst!$R$5:$W$9,MATCH(ROUNDUP((H$1)/10,0)*10,[1]Hugst!$R$4:$W$4,0))))</f>
        <v>500.31142042144751</v>
      </c>
      <c r="I148">
        <f ca="1">IF($C148-I$1&lt;År1,0,H147*(1-VLOOKUP($A148,[1]Hugst!$R$5:$W$9,MATCH(ROUNDUP((I$1)/10,0)*10,[1]Hugst!$R$4:$W$4,0))))</f>
        <v>500.80584746397761</v>
      </c>
      <c r="J148">
        <f ca="1">IF($C148-J$1&lt;År1,0,I147*(1-VLOOKUP($A148,[1]Hugst!$R$5:$W$9,MATCH(ROUNDUP((J$1)/10,0)*10,[1]Hugst!$R$4:$W$4,0))))</f>
        <v>501.30275906451851</v>
      </c>
      <c r="K148">
        <f ca="1">IF($C148-K$1&lt;År1,0,J147*(1-VLOOKUP($A148,[1]Hugst!$R$5:$W$9,MATCH(ROUNDUP((K$1)/10,0)*10,[1]Hugst!$R$4:$W$4,0))))</f>
        <v>501.80216770826922</v>
      </c>
      <c r="L148">
        <f ca="1">IF($C148-L$1&lt;År1,0,K147*(1-VLOOKUP($A148,[1]Hugst!$R$5:$W$9,MATCH(ROUNDUP((L$1)/10,0)*10,[1]Hugst!$R$4:$W$4,0))))</f>
        <v>502.30408594319869</v>
      </c>
      <c r="M148">
        <f ca="1">IF($C148-M$1&lt;År1,0,L147*(1-VLOOKUP($A148,[1]Hugst!$R$5:$W$9,MATCH(ROUNDUP((M$1)/10,0)*10,[1]Hugst!$R$4:$W$4,0))))</f>
        <v>502.80852638031337</v>
      </c>
      <c r="N148">
        <f ca="1">IF($C148-N$1&lt;År1,0,M147*(1-VLOOKUP($A148,[1]Hugst!$R$5:$W$9,MATCH(ROUNDUP((N$1)/10,0)*10,[1]Hugst!$R$4:$W$4,0))))</f>
        <v>503.31550169399378</v>
      </c>
      <c r="O148">
        <f ca="1">IF($C148-O$1&lt;År1,0,N147*(1-VLOOKUP($A148,[1]Hugst!$R$5:$W$9,MATCH(ROUNDUP((O$1)/10,0)*10,[1]Hugst!$R$4:$W$4,0))))</f>
        <v>503.82502462231758</v>
      </c>
      <c r="P148">
        <f ca="1">IF($C148-P$1&lt;År1,0,O147*(1-VLOOKUP($A148,[1]Hugst!$R$5:$W$9,MATCH(ROUNDUP((P$1)/10,0)*10,[1]Hugst!$R$4:$W$4,0))))</f>
        <v>504.33710796736972</v>
      </c>
      <c r="Q148">
        <f ca="1">IF($C148-Q$1&lt;År1,0,P147*(1-VLOOKUP($A148,[1]Hugst!$R$5:$W$9,MATCH(ROUNDUP((Q$1)/10,0)*10,[1]Hugst!$R$4:$W$4,0))))</f>
        <v>504.85176459555504</v>
      </c>
      <c r="R148">
        <f ca="1">IF($C148-R$1&lt;År1,0,Q147*(1-VLOOKUP($A148,[1]Hugst!$R$5:$W$9,MATCH(ROUNDUP((R$1)/10,0)*10,[1]Hugst!$R$4:$W$4,0))))</f>
        <v>359.21612054433638</v>
      </c>
      <c r="S148">
        <f ca="1">IF($C148-S$1&lt;År1,0,R147*(1-VLOOKUP($A148,[1]Hugst!$R$5:$W$9,MATCH(ROUNDUP((S$1)/10,0)*10,[1]Hugst!$R$4:$W$4,0))))</f>
        <v>359.73596259699673</v>
      </c>
      <c r="T148">
        <f ca="1">IF($C148-T$1&lt;År1,0,S147*(1-VLOOKUP($A148,[1]Hugst!$R$5:$W$9,MATCH(ROUNDUP((T$1)/10,0)*10,[1]Hugst!$R$4:$W$4,0))))</f>
        <v>360.2584169212887</v>
      </c>
      <c r="U148">
        <f ca="1">IF($C148-U$1&lt;År1,0,T147*(1-VLOOKUP($A148,[1]Hugst!$R$5:$W$9,MATCH(ROUNDUP((U$1)/10,0)*10,[1]Hugst!$R$4:$W$4,0))))</f>
        <v>360.7834966441892</v>
      </c>
      <c r="V148">
        <f ca="1">IF($C148-V$1&lt;År1,0,U147*(1-VLOOKUP($A148,[1]Hugst!$R$5:$W$9,MATCH(ROUNDUP((V$1)/10,0)*10,[1]Hugst!$R$4:$W$4,0))))</f>
        <v>361.31121495866228</v>
      </c>
      <c r="W148">
        <f ca="1">IF($C148-W$1&lt;År1,0,V147*(1-VLOOKUP($A148,[1]Hugst!$R$5:$W$9,MATCH(ROUNDUP((W$1)/10,0)*10,[1]Hugst!$R$4:$W$4,0))))</f>
        <v>361.84158512396232</v>
      </c>
      <c r="X148">
        <f ca="1">IF($C148-X$1&lt;År1,0,W147*(1-VLOOKUP($A148,[1]Hugst!$R$5:$W$9,MATCH(ROUNDUP((X$1)/10,0)*10,[1]Hugst!$R$4:$W$4,0))))</f>
        <v>362.37462046597341</v>
      </c>
      <c r="Y148">
        <f ca="1">IF($C148-Y$1&lt;År1,0,X147*(1-VLOOKUP($A148,[1]Hugst!$R$5:$W$9,MATCH(ROUNDUP((Y$1)/10,0)*10,[1]Hugst!$R$4:$W$4,0))))</f>
        <v>362.9103343775422</v>
      </c>
      <c r="Z148">
        <f ca="1">IF($C148-Z$1&lt;År1,0,Y147*(1-VLOOKUP($A148,[1]Hugst!$R$5:$W$9,MATCH(ROUNDUP((Z$1)/10,0)*10,[1]Hugst!$R$4:$W$4,0))))</f>
        <v>363.44874031881761</v>
      </c>
      <c r="AA148">
        <f ca="1">IF($C148-AA$1&lt;År1,0,Z147*(1-VLOOKUP($A148,[1]Hugst!$R$5:$W$9,MATCH(ROUNDUP((AA$1)/10,0)*10,[1]Hugst!$R$4:$W$4,0))))</f>
        <v>363.98985181758314</v>
      </c>
      <c r="AB148">
        <f ca="1">IF($C148-AB$1&lt;År1,0,AA147*(1-VLOOKUP($A148,[1]Hugst!$R$5:$W$9,MATCH(ROUNDUP((AB$1)/10,0)*10,[1]Hugst!$R$4:$W$4,0))))</f>
        <v>364.53368246961463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498.84292272422448</v>
      </c>
      <c r="G149">
        <f ca="1">IF($C149-G$1&lt;År1,0,F148*(1-VLOOKUP($A149,[1]Hugst!$R$5:$W$9,MATCH(ROUNDUP((G$1)/10,0)*10,[1]Hugst!$R$4:$W$4,0))))</f>
        <v>499.32997038134494</v>
      </c>
      <c r="H149">
        <f ca="1">IF($C149-H$1&lt;År1,0,G148*(1-VLOOKUP($A149,[1]Hugst!$R$5:$W$9,MATCH(ROUNDUP((H$1)/10,0)*10,[1]Hugst!$R$4:$W$4,0))))</f>
        <v>499.8194655141296</v>
      </c>
      <c r="I149">
        <f ca="1">IF($C149-I$1&lt;År1,0,H148*(1-VLOOKUP($A149,[1]Hugst!$R$5:$W$9,MATCH(ROUNDUP((I$1)/10,0)*10,[1]Hugst!$R$4:$W$4,0))))</f>
        <v>500.31142042144751</v>
      </c>
      <c r="J149">
        <f ca="1">IF($C149-J$1&lt;År1,0,I148*(1-VLOOKUP($A149,[1]Hugst!$R$5:$W$9,MATCH(ROUNDUP((J$1)/10,0)*10,[1]Hugst!$R$4:$W$4,0))))</f>
        <v>500.80584746397761</v>
      </c>
      <c r="K149">
        <f ca="1">IF($C149-K$1&lt;År1,0,J148*(1-VLOOKUP($A149,[1]Hugst!$R$5:$W$9,MATCH(ROUNDUP((K$1)/10,0)*10,[1]Hugst!$R$4:$W$4,0))))</f>
        <v>501.30275906451851</v>
      </c>
      <c r="L149">
        <f ca="1">IF($C149-L$1&lt;År1,0,K148*(1-VLOOKUP($A149,[1]Hugst!$R$5:$W$9,MATCH(ROUNDUP((L$1)/10,0)*10,[1]Hugst!$R$4:$W$4,0))))</f>
        <v>501.80216770826922</v>
      </c>
      <c r="M149">
        <f ca="1">IF($C149-M$1&lt;År1,0,L148*(1-VLOOKUP($A149,[1]Hugst!$R$5:$W$9,MATCH(ROUNDUP((M$1)/10,0)*10,[1]Hugst!$R$4:$W$4,0))))</f>
        <v>502.30408594319869</v>
      </c>
      <c r="N149">
        <f ca="1">IF($C149-N$1&lt;År1,0,M148*(1-VLOOKUP($A149,[1]Hugst!$R$5:$W$9,MATCH(ROUNDUP((N$1)/10,0)*10,[1]Hugst!$R$4:$W$4,0))))</f>
        <v>502.80852638031337</v>
      </c>
      <c r="O149">
        <f ca="1">IF($C149-O$1&lt;År1,0,N148*(1-VLOOKUP($A149,[1]Hugst!$R$5:$W$9,MATCH(ROUNDUP((O$1)/10,0)*10,[1]Hugst!$R$4:$W$4,0))))</f>
        <v>503.31550169399378</v>
      </c>
      <c r="P149">
        <f ca="1">IF($C149-P$1&lt;År1,0,O148*(1-VLOOKUP($A149,[1]Hugst!$R$5:$W$9,MATCH(ROUNDUP((P$1)/10,0)*10,[1]Hugst!$R$4:$W$4,0))))</f>
        <v>503.82502462231758</v>
      </c>
      <c r="Q149">
        <f ca="1">IF($C149-Q$1&lt;År1,0,P148*(1-VLOOKUP($A149,[1]Hugst!$R$5:$W$9,MATCH(ROUNDUP((Q$1)/10,0)*10,[1]Hugst!$R$4:$W$4,0))))</f>
        <v>504.33710796736972</v>
      </c>
      <c r="R149">
        <f ca="1">IF($C149-R$1&lt;År1,0,Q148*(1-VLOOKUP($A149,[1]Hugst!$R$5:$W$9,MATCH(ROUNDUP((R$1)/10,0)*10,[1]Hugst!$R$4:$W$4,0))))</f>
        <v>504.85176459555504</v>
      </c>
      <c r="S149">
        <f ca="1">IF($C149-S$1&lt;År1,0,R148*(1-VLOOKUP($A149,[1]Hugst!$R$5:$W$9,MATCH(ROUNDUP((S$1)/10,0)*10,[1]Hugst!$R$4:$W$4,0))))</f>
        <v>359.21612054433638</v>
      </c>
      <c r="T149">
        <f ca="1">IF($C149-T$1&lt;År1,0,S148*(1-VLOOKUP($A149,[1]Hugst!$R$5:$W$9,MATCH(ROUNDUP((T$1)/10,0)*10,[1]Hugst!$R$4:$W$4,0))))</f>
        <v>359.73596259699673</v>
      </c>
      <c r="U149">
        <f ca="1">IF($C149-U$1&lt;År1,0,T148*(1-VLOOKUP($A149,[1]Hugst!$R$5:$W$9,MATCH(ROUNDUP((U$1)/10,0)*10,[1]Hugst!$R$4:$W$4,0))))</f>
        <v>360.2584169212887</v>
      </c>
      <c r="V149">
        <f ca="1">IF($C149-V$1&lt;År1,0,U148*(1-VLOOKUP($A149,[1]Hugst!$R$5:$W$9,MATCH(ROUNDUP((V$1)/10,0)*10,[1]Hugst!$R$4:$W$4,0))))</f>
        <v>360.7834966441892</v>
      </c>
      <c r="W149">
        <f ca="1">IF($C149-W$1&lt;År1,0,V148*(1-VLOOKUP($A149,[1]Hugst!$R$5:$W$9,MATCH(ROUNDUP((W$1)/10,0)*10,[1]Hugst!$R$4:$W$4,0))))</f>
        <v>361.31121495866228</v>
      </c>
      <c r="X149">
        <f ca="1">IF($C149-X$1&lt;År1,0,W148*(1-VLOOKUP($A149,[1]Hugst!$R$5:$W$9,MATCH(ROUNDUP((X$1)/10,0)*10,[1]Hugst!$R$4:$W$4,0))))</f>
        <v>361.84158512396232</v>
      </c>
      <c r="Y149">
        <f ca="1">IF($C149-Y$1&lt;År1,0,X148*(1-VLOOKUP($A149,[1]Hugst!$R$5:$W$9,MATCH(ROUNDUP((Y$1)/10,0)*10,[1]Hugst!$R$4:$W$4,0))))</f>
        <v>362.37462046597341</v>
      </c>
      <c r="Z149">
        <f ca="1">IF($C149-Z$1&lt;År1,0,Y148*(1-VLOOKUP($A149,[1]Hugst!$R$5:$W$9,MATCH(ROUNDUP((Z$1)/10,0)*10,[1]Hugst!$R$4:$W$4,0))))</f>
        <v>362.9103343775422</v>
      </c>
      <c r="AA149">
        <f ca="1">IF($C149-AA$1&lt;År1,0,Z148*(1-VLOOKUP($A149,[1]Hugst!$R$5:$W$9,MATCH(ROUNDUP((AA$1)/10,0)*10,[1]Hugst!$R$4:$W$4,0))))</f>
        <v>363.44874031881761</v>
      </c>
      <c r="AB149">
        <f ca="1">IF($C149-AB$1&lt;År1,0,AA148*(1-VLOOKUP($A149,[1]Hugst!$R$5:$W$9,MATCH(ROUNDUP((AB$1)/10,0)*10,[1]Hugst!$R$4:$W$4,0))))</f>
        <v>363.98985181758314</v>
      </c>
      <c r="AC149">
        <f ca="1">IF($C149-AC$1&lt;År1,0,AB148*(1-VLOOKUP($A149,[1]Hugst!$R$5:$W$9,MATCH(ROUNDUP((AC$1)/10,0)*10,[1]Hugst!$R$4:$W$4,0))))</f>
        <v>364.53368246961463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498.35831030539106</v>
      </c>
      <c r="G150">
        <f ca="1">IF($C150-G$1&lt;År1,0,F149*(1-VLOOKUP($A150,[1]Hugst!$R$5:$W$9,MATCH(ROUNDUP((G$1)/10,0)*10,[1]Hugst!$R$4:$W$4,0))))</f>
        <v>498.84292272422448</v>
      </c>
      <c r="H150">
        <f ca="1">IF($C150-H$1&lt;År1,0,G149*(1-VLOOKUP($A150,[1]Hugst!$R$5:$W$9,MATCH(ROUNDUP((H$1)/10,0)*10,[1]Hugst!$R$4:$W$4,0))))</f>
        <v>499.32997038134494</v>
      </c>
      <c r="I150">
        <f ca="1">IF($C150-I$1&lt;År1,0,H149*(1-VLOOKUP($A150,[1]Hugst!$R$5:$W$9,MATCH(ROUNDUP((I$1)/10,0)*10,[1]Hugst!$R$4:$W$4,0))))</f>
        <v>499.8194655141296</v>
      </c>
      <c r="J150">
        <f ca="1">IF($C150-J$1&lt;År1,0,I149*(1-VLOOKUP($A150,[1]Hugst!$R$5:$W$9,MATCH(ROUNDUP((J$1)/10,0)*10,[1]Hugst!$R$4:$W$4,0))))</f>
        <v>500.31142042144751</v>
      </c>
      <c r="K150">
        <f ca="1">IF($C150-K$1&lt;År1,0,J149*(1-VLOOKUP($A150,[1]Hugst!$R$5:$W$9,MATCH(ROUNDUP((K$1)/10,0)*10,[1]Hugst!$R$4:$W$4,0))))</f>
        <v>500.80584746397761</v>
      </c>
      <c r="L150">
        <f ca="1">IF($C150-L$1&lt;År1,0,K149*(1-VLOOKUP($A150,[1]Hugst!$R$5:$W$9,MATCH(ROUNDUP((L$1)/10,0)*10,[1]Hugst!$R$4:$W$4,0))))</f>
        <v>501.30275906451851</v>
      </c>
      <c r="M150">
        <f ca="1">IF($C150-M$1&lt;År1,0,L149*(1-VLOOKUP($A150,[1]Hugst!$R$5:$W$9,MATCH(ROUNDUP((M$1)/10,0)*10,[1]Hugst!$R$4:$W$4,0))))</f>
        <v>501.80216770826922</v>
      </c>
      <c r="N150">
        <f ca="1">IF($C150-N$1&lt;År1,0,M149*(1-VLOOKUP($A150,[1]Hugst!$R$5:$W$9,MATCH(ROUNDUP((N$1)/10,0)*10,[1]Hugst!$R$4:$W$4,0))))</f>
        <v>502.30408594319869</v>
      </c>
      <c r="O150">
        <f ca="1">IF($C150-O$1&lt;År1,0,N149*(1-VLOOKUP($A150,[1]Hugst!$R$5:$W$9,MATCH(ROUNDUP((O$1)/10,0)*10,[1]Hugst!$R$4:$W$4,0))))</f>
        <v>502.80852638031337</v>
      </c>
      <c r="P150">
        <f ca="1">IF($C150-P$1&lt;År1,0,O149*(1-VLOOKUP($A150,[1]Hugst!$R$5:$W$9,MATCH(ROUNDUP((P$1)/10,0)*10,[1]Hugst!$R$4:$W$4,0))))</f>
        <v>503.31550169399378</v>
      </c>
      <c r="Q150">
        <f ca="1">IF($C150-Q$1&lt;År1,0,P149*(1-VLOOKUP($A150,[1]Hugst!$R$5:$W$9,MATCH(ROUNDUP((Q$1)/10,0)*10,[1]Hugst!$R$4:$W$4,0))))</f>
        <v>503.82502462231758</v>
      </c>
      <c r="R150">
        <f ca="1">IF($C150-R$1&lt;År1,0,Q149*(1-VLOOKUP($A150,[1]Hugst!$R$5:$W$9,MATCH(ROUNDUP((R$1)/10,0)*10,[1]Hugst!$R$4:$W$4,0))))</f>
        <v>504.33710796736972</v>
      </c>
      <c r="S150">
        <f ca="1">IF($C150-S$1&lt;År1,0,R149*(1-VLOOKUP($A150,[1]Hugst!$R$5:$W$9,MATCH(ROUNDUP((S$1)/10,0)*10,[1]Hugst!$R$4:$W$4,0))))</f>
        <v>504.85176459555504</v>
      </c>
      <c r="T150">
        <f ca="1">IF($C150-T$1&lt;År1,0,S149*(1-VLOOKUP($A150,[1]Hugst!$R$5:$W$9,MATCH(ROUNDUP((T$1)/10,0)*10,[1]Hugst!$R$4:$W$4,0))))</f>
        <v>359.21612054433638</v>
      </c>
      <c r="U150">
        <f ca="1">IF($C150-U$1&lt;År1,0,T149*(1-VLOOKUP($A150,[1]Hugst!$R$5:$W$9,MATCH(ROUNDUP((U$1)/10,0)*10,[1]Hugst!$R$4:$W$4,0))))</f>
        <v>359.73596259699673</v>
      </c>
      <c r="V150">
        <f ca="1">IF($C150-V$1&lt;År1,0,U149*(1-VLOOKUP($A150,[1]Hugst!$R$5:$W$9,MATCH(ROUNDUP((V$1)/10,0)*10,[1]Hugst!$R$4:$W$4,0))))</f>
        <v>360.2584169212887</v>
      </c>
      <c r="W150">
        <f ca="1">IF($C150-W$1&lt;År1,0,V149*(1-VLOOKUP($A150,[1]Hugst!$R$5:$W$9,MATCH(ROUNDUP((W$1)/10,0)*10,[1]Hugst!$R$4:$W$4,0))))</f>
        <v>360.7834966441892</v>
      </c>
      <c r="X150">
        <f ca="1">IF($C150-X$1&lt;År1,0,W149*(1-VLOOKUP($A150,[1]Hugst!$R$5:$W$9,MATCH(ROUNDUP((X$1)/10,0)*10,[1]Hugst!$R$4:$W$4,0))))</f>
        <v>361.31121495866228</v>
      </c>
      <c r="Y150">
        <f ca="1">IF($C150-Y$1&lt;År1,0,X149*(1-VLOOKUP($A150,[1]Hugst!$R$5:$W$9,MATCH(ROUNDUP((Y$1)/10,0)*10,[1]Hugst!$R$4:$W$4,0))))</f>
        <v>361.84158512396232</v>
      </c>
      <c r="Z150">
        <f ca="1">IF($C150-Z$1&lt;År1,0,Y149*(1-VLOOKUP($A150,[1]Hugst!$R$5:$W$9,MATCH(ROUNDUP((Z$1)/10,0)*10,[1]Hugst!$R$4:$W$4,0))))</f>
        <v>362.37462046597341</v>
      </c>
      <c r="AA150">
        <f ca="1">IF($C150-AA$1&lt;År1,0,Z149*(1-VLOOKUP($A150,[1]Hugst!$R$5:$W$9,MATCH(ROUNDUP((AA$1)/10,0)*10,[1]Hugst!$R$4:$W$4,0))))</f>
        <v>362.9103343775422</v>
      </c>
      <c r="AB150">
        <f ca="1">IF($C150-AB$1&lt;År1,0,AA149*(1-VLOOKUP($A150,[1]Hugst!$R$5:$W$9,MATCH(ROUNDUP((AB$1)/10,0)*10,[1]Hugst!$R$4:$W$4,0))))</f>
        <v>363.44874031881761</v>
      </c>
      <c r="AC150">
        <f ca="1">IF($C150-AC$1&lt;År1,0,AB149*(1-VLOOKUP($A150,[1]Hugst!$R$5:$W$9,MATCH(ROUNDUP((AC$1)/10,0)*10,[1]Hugst!$R$4:$W$4,0))))</f>
        <v>363.98985181758314</v>
      </c>
      <c r="AD150">
        <f ca="1">IF($C150-AD$1&lt;År1,0,AC149*(1-VLOOKUP($A150,[1]Hugst!$R$5:$W$9,MATCH(ROUNDUP((AD$1)/10,0)*10,[1]Hugst!$R$4:$W$4,0))))</f>
        <v>364.53368246961463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497.87612094865148</v>
      </c>
      <c r="G151">
        <f ca="1">IF($C151-G$1&lt;År1,0,F150*(1-VLOOKUP($A151,[1]Hugst!$R$5:$W$9,MATCH(ROUNDUP((G$1)/10,0)*10,[1]Hugst!$R$4:$W$4,0))))</f>
        <v>498.35831030539106</v>
      </c>
      <c r="H151">
        <f ca="1">IF($C151-H$1&lt;År1,0,G150*(1-VLOOKUP($A151,[1]Hugst!$R$5:$W$9,MATCH(ROUNDUP((H$1)/10,0)*10,[1]Hugst!$R$4:$W$4,0))))</f>
        <v>498.84292272422448</v>
      </c>
      <c r="I151">
        <f ca="1">IF($C151-I$1&lt;År1,0,H150*(1-VLOOKUP($A151,[1]Hugst!$R$5:$W$9,MATCH(ROUNDUP((I$1)/10,0)*10,[1]Hugst!$R$4:$W$4,0))))</f>
        <v>499.32997038134494</v>
      </c>
      <c r="J151">
        <f ca="1">IF($C151-J$1&lt;År1,0,I150*(1-VLOOKUP($A151,[1]Hugst!$R$5:$W$9,MATCH(ROUNDUP((J$1)/10,0)*10,[1]Hugst!$R$4:$W$4,0))))</f>
        <v>499.8194655141296</v>
      </c>
      <c r="K151">
        <f ca="1">IF($C151-K$1&lt;År1,0,J150*(1-VLOOKUP($A151,[1]Hugst!$R$5:$W$9,MATCH(ROUNDUP((K$1)/10,0)*10,[1]Hugst!$R$4:$W$4,0))))</f>
        <v>500.31142042144751</v>
      </c>
      <c r="L151">
        <f ca="1">IF($C151-L$1&lt;År1,0,K150*(1-VLOOKUP($A151,[1]Hugst!$R$5:$W$9,MATCH(ROUNDUP((L$1)/10,0)*10,[1]Hugst!$R$4:$W$4,0))))</f>
        <v>500.80584746397761</v>
      </c>
      <c r="M151">
        <f ca="1">IF($C151-M$1&lt;År1,0,L150*(1-VLOOKUP($A151,[1]Hugst!$R$5:$W$9,MATCH(ROUNDUP((M$1)/10,0)*10,[1]Hugst!$R$4:$W$4,0))))</f>
        <v>501.30275906451851</v>
      </c>
      <c r="N151">
        <f ca="1">IF($C151-N$1&lt;År1,0,M150*(1-VLOOKUP($A151,[1]Hugst!$R$5:$W$9,MATCH(ROUNDUP((N$1)/10,0)*10,[1]Hugst!$R$4:$W$4,0))))</f>
        <v>501.80216770826922</v>
      </c>
      <c r="O151">
        <f ca="1">IF($C151-O$1&lt;År1,0,N150*(1-VLOOKUP($A151,[1]Hugst!$R$5:$W$9,MATCH(ROUNDUP((O$1)/10,0)*10,[1]Hugst!$R$4:$W$4,0))))</f>
        <v>502.30408594319869</v>
      </c>
      <c r="P151">
        <f ca="1">IF($C151-P$1&lt;År1,0,O150*(1-VLOOKUP($A151,[1]Hugst!$R$5:$W$9,MATCH(ROUNDUP((P$1)/10,0)*10,[1]Hugst!$R$4:$W$4,0))))</f>
        <v>502.80852638031337</v>
      </c>
      <c r="Q151">
        <f ca="1">IF($C151-Q$1&lt;År1,0,P150*(1-VLOOKUP($A151,[1]Hugst!$R$5:$W$9,MATCH(ROUNDUP((Q$1)/10,0)*10,[1]Hugst!$R$4:$W$4,0))))</f>
        <v>503.31550169399378</v>
      </c>
      <c r="R151">
        <f ca="1">IF($C151-R$1&lt;År1,0,Q150*(1-VLOOKUP($A151,[1]Hugst!$R$5:$W$9,MATCH(ROUNDUP((R$1)/10,0)*10,[1]Hugst!$R$4:$W$4,0))))</f>
        <v>503.82502462231758</v>
      </c>
      <c r="S151">
        <f ca="1">IF($C151-S$1&lt;År1,0,R150*(1-VLOOKUP($A151,[1]Hugst!$R$5:$W$9,MATCH(ROUNDUP((S$1)/10,0)*10,[1]Hugst!$R$4:$W$4,0))))</f>
        <v>504.33710796736972</v>
      </c>
      <c r="T151">
        <f ca="1">IF($C151-T$1&lt;År1,0,S150*(1-VLOOKUP($A151,[1]Hugst!$R$5:$W$9,MATCH(ROUNDUP((T$1)/10,0)*10,[1]Hugst!$R$4:$W$4,0))))</f>
        <v>504.85176459555504</v>
      </c>
      <c r="U151">
        <f ca="1">IF($C151-U$1&lt;År1,0,T150*(1-VLOOKUP($A151,[1]Hugst!$R$5:$W$9,MATCH(ROUNDUP((U$1)/10,0)*10,[1]Hugst!$R$4:$W$4,0))))</f>
        <v>359.21612054433638</v>
      </c>
      <c r="V151">
        <f ca="1">IF($C151-V$1&lt;År1,0,U150*(1-VLOOKUP($A151,[1]Hugst!$R$5:$W$9,MATCH(ROUNDUP((V$1)/10,0)*10,[1]Hugst!$R$4:$W$4,0))))</f>
        <v>359.73596259699673</v>
      </c>
      <c r="W151">
        <f ca="1">IF($C151-W$1&lt;År1,0,V150*(1-VLOOKUP($A151,[1]Hugst!$R$5:$W$9,MATCH(ROUNDUP((W$1)/10,0)*10,[1]Hugst!$R$4:$W$4,0))))</f>
        <v>360.2584169212887</v>
      </c>
      <c r="X151">
        <f ca="1">IF($C151-X$1&lt;År1,0,W150*(1-VLOOKUP($A151,[1]Hugst!$R$5:$W$9,MATCH(ROUNDUP((X$1)/10,0)*10,[1]Hugst!$R$4:$W$4,0))))</f>
        <v>360.7834966441892</v>
      </c>
      <c r="Y151">
        <f ca="1">IF($C151-Y$1&lt;År1,0,X150*(1-VLOOKUP($A151,[1]Hugst!$R$5:$W$9,MATCH(ROUNDUP((Y$1)/10,0)*10,[1]Hugst!$R$4:$W$4,0))))</f>
        <v>361.31121495866228</v>
      </c>
      <c r="Z151">
        <f ca="1">IF($C151-Z$1&lt;År1,0,Y150*(1-VLOOKUP($A151,[1]Hugst!$R$5:$W$9,MATCH(ROUNDUP((Z$1)/10,0)*10,[1]Hugst!$R$4:$W$4,0))))</f>
        <v>361.84158512396232</v>
      </c>
      <c r="AA151">
        <f ca="1">IF($C151-AA$1&lt;År1,0,Z150*(1-VLOOKUP($A151,[1]Hugst!$R$5:$W$9,MATCH(ROUNDUP((AA$1)/10,0)*10,[1]Hugst!$R$4:$W$4,0))))</f>
        <v>362.37462046597341</v>
      </c>
      <c r="AB151">
        <f ca="1">IF($C151-AB$1&lt;År1,0,AA150*(1-VLOOKUP($A151,[1]Hugst!$R$5:$W$9,MATCH(ROUNDUP((AB$1)/10,0)*10,[1]Hugst!$R$4:$W$4,0))))</f>
        <v>362.9103343775422</v>
      </c>
      <c r="AC151">
        <f ca="1">IF($C151-AC$1&lt;År1,0,AB150*(1-VLOOKUP($A151,[1]Hugst!$R$5:$W$9,MATCH(ROUNDUP((AC$1)/10,0)*10,[1]Hugst!$R$4:$W$4,0))))</f>
        <v>363.44874031881761</v>
      </c>
      <c r="AD151">
        <f ca="1">IF($C151-AD$1&lt;År1,0,AC150*(1-VLOOKUP($A151,[1]Hugst!$R$5:$W$9,MATCH(ROUNDUP((AD$1)/10,0)*10,[1]Hugst!$R$4:$W$4,0))))</f>
        <v>363.98985181758314</v>
      </c>
      <c r="AE151">
        <f ca="1">IF($C151-AE$1&lt;År1,0,AD150*(1-VLOOKUP($A151,[1]Hugst!$R$5:$W$9,MATCH(ROUNDUP((AE$1)/10,0)*10,[1]Hugst!$R$4:$W$4,0))))</f>
        <v>364.53368246961463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497.39634253869866</v>
      </c>
      <c r="G152">
        <f ca="1">IF($C152-G$1&lt;År1,0,F151*(1-VLOOKUP($A152,[1]Hugst!$R$5:$W$9,MATCH(ROUNDUP((G$1)/10,0)*10,[1]Hugst!$R$4:$W$4,0))))</f>
        <v>497.87612094865148</v>
      </c>
      <c r="H152">
        <f ca="1">IF($C152-H$1&lt;År1,0,G151*(1-VLOOKUP($A152,[1]Hugst!$R$5:$W$9,MATCH(ROUNDUP((H$1)/10,0)*10,[1]Hugst!$R$4:$W$4,0))))</f>
        <v>498.35831030539106</v>
      </c>
      <c r="I152">
        <f ca="1">IF($C152-I$1&lt;År1,0,H151*(1-VLOOKUP($A152,[1]Hugst!$R$5:$W$9,MATCH(ROUNDUP((I$1)/10,0)*10,[1]Hugst!$R$4:$W$4,0))))</f>
        <v>498.84292272422448</v>
      </c>
      <c r="J152">
        <f ca="1">IF($C152-J$1&lt;År1,0,I151*(1-VLOOKUP($A152,[1]Hugst!$R$5:$W$9,MATCH(ROUNDUP((J$1)/10,0)*10,[1]Hugst!$R$4:$W$4,0))))</f>
        <v>499.32997038134494</v>
      </c>
      <c r="K152">
        <f ca="1">IF($C152-K$1&lt;År1,0,J151*(1-VLOOKUP($A152,[1]Hugst!$R$5:$W$9,MATCH(ROUNDUP((K$1)/10,0)*10,[1]Hugst!$R$4:$W$4,0))))</f>
        <v>499.8194655141296</v>
      </c>
      <c r="L152">
        <f ca="1">IF($C152-L$1&lt;År1,0,K151*(1-VLOOKUP($A152,[1]Hugst!$R$5:$W$9,MATCH(ROUNDUP((L$1)/10,0)*10,[1]Hugst!$R$4:$W$4,0))))</f>
        <v>500.31142042144751</v>
      </c>
      <c r="M152">
        <f ca="1">IF($C152-M$1&lt;År1,0,L151*(1-VLOOKUP($A152,[1]Hugst!$R$5:$W$9,MATCH(ROUNDUP((M$1)/10,0)*10,[1]Hugst!$R$4:$W$4,0))))</f>
        <v>500.80584746397761</v>
      </c>
      <c r="N152">
        <f ca="1">IF($C152-N$1&lt;År1,0,M151*(1-VLOOKUP($A152,[1]Hugst!$R$5:$W$9,MATCH(ROUNDUP((N$1)/10,0)*10,[1]Hugst!$R$4:$W$4,0))))</f>
        <v>501.30275906451851</v>
      </c>
      <c r="O152">
        <f ca="1">IF($C152-O$1&lt;År1,0,N151*(1-VLOOKUP($A152,[1]Hugst!$R$5:$W$9,MATCH(ROUNDUP((O$1)/10,0)*10,[1]Hugst!$R$4:$W$4,0))))</f>
        <v>501.80216770826922</v>
      </c>
      <c r="P152">
        <f ca="1">IF($C152-P$1&lt;År1,0,O151*(1-VLOOKUP($A152,[1]Hugst!$R$5:$W$9,MATCH(ROUNDUP((P$1)/10,0)*10,[1]Hugst!$R$4:$W$4,0))))</f>
        <v>502.30408594319869</v>
      </c>
      <c r="Q152">
        <f ca="1">IF($C152-Q$1&lt;År1,0,P151*(1-VLOOKUP($A152,[1]Hugst!$R$5:$W$9,MATCH(ROUNDUP((Q$1)/10,0)*10,[1]Hugst!$R$4:$W$4,0))))</f>
        <v>502.80852638031337</v>
      </c>
      <c r="R152">
        <f ca="1">IF($C152-R$1&lt;År1,0,Q151*(1-VLOOKUP($A152,[1]Hugst!$R$5:$W$9,MATCH(ROUNDUP((R$1)/10,0)*10,[1]Hugst!$R$4:$W$4,0))))</f>
        <v>503.31550169399378</v>
      </c>
      <c r="S152">
        <f ca="1">IF($C152-S$1&lt;År1,0,R151*(1-VLOOKUP($A152,[1]Hugst!$R$5:$W$9,MATCH(ROUNDUP((S$1)/10,0)*10,[1]Hugst!$R$4:$W$4,0))))</f>
        <v>503.82502462231758</v>
      </c>
      <c r="T152">
        <f ca="1">IF($C152-T$1&lt;År1,0,S151*(1-VLOOKUP($A152,[1]Hugst!$R$5:$W$9,MATCH(ROUNDUP((T$1)/10,0)*10,[1]Hugst!$R$4:$W$4,0))))</f>
        <v>504.33710796736972</v>
      </c>
      <c r="U152">
        <f ca="1">IF($C152-U$1&lt;År1,0,T151*(1-VLOOKUP($A152,[1]Hugst!$R$5:$W$9,MATCH(ROUNDUP((U$1)/10,0)*10,[1]Hugst!$R$4:$W$4,0))))</f>
        <v>504.85176459555504</v>
      </c>
      <c r="V152">
        <f ca="1">IF($C152-V$1&lt;År1,0,U151*(1-VLOOKUP($A152,[1]Hugst!$R$5:$W$9,MATCH(ROUNDUP((V$1)/10,0)*10,[1]Hugst!$R$4:$W$4,0))))</f>
        <v>359.21612054433638</v>
      </c>
      <c r="W152">
        <f ca="1">IF($C152-W$1&lt;År1,0,V151*(1-VLOOKUP($A152,[1]Hugst!$R$5:$W$9,MATCH(ROUNDUP((W$1)/10,0)*10,[1]Hugst!$R$4:$W$4,0))))</f>
        <v>359.73596259699673</v>
      </c>
      <c r="X152">
        <f ca="1">IF($C152-X$1&lt;År1,0,W151*(1-VLOOKUP($A152,[1]Hugst!$R$5:$W$9,MATCH(ROUNDUP((X$1)/10,0)*10,[1]Hugst!$R$4:$W$4,0))))</f>
        <v>360.2584169212887</v>
      </c>
      <c r="Y152">
        <f ca="1">IF($C152-Y$1&lt;År1,0,X151*(1-VLOOKUP($A152,[1]Hugst!$R$5:$W$9,MATCH(ROUNDUP((Y$1)/10,0)*10,[1]Hugst!$R$4:$W$4,0))))</f>
        <v>360.7834966441892</v>
      </c>
      <c r="Z152">
        <f ca="1">IF($C152-Z$1&lt;År1,0,Y151*(1-VLOOKUP($A152,[1]Hugst!$R$5:$W$9,MATCH(ROUNDUP((Z$1)/10,0)*10,[1]Hugst!$R$4:$W$4,0))))</f>
        <v>361.31121495866228</v>
      </c>
      <c r="AA152">
        <f ca="1">IF($C152-AA$1&lt;År1,0,Z151*(1-VLOOKUP($A152,[1]Hugst!$R$5:$W$9,MATCH(ROUNDUP((AA$1)/10,0)*10,[1]Hugst!$R$4:$W$4,0))))</f>
        <v>361.84158512396232</v>
      </c>
      <c r="AB152">
        <f ca="1">IF($C152-AB$1&lt;År1,0,AA151*(1-VLOOKUP($A152,[1]Hugst!$R$5:$W$9,MATCH(ROUNDUP((AB$1)/10,0)*10,[1]Hugst!$R$4:$W$4,0))))</f>
        <v>362.37462046597341</v>
      </c>
      <c r="AC152">
        <f ca="1">IF($C152-AC$1&lt;År1,0,AB151*(1-VLOOKUP($A152,[1]Hugst!$R$5:$W$9,MATCH(ROUNDUP((AC$1)/10,0)*10,[1]Hugst!$R$4:$W$4,0))))</f>
        <v>362.9103343775422</v>
      </c>
      <c r="AD152">
        <f ca="1">IF($C152-AD$1&lt;År1,0,AC151*(1-VLOOKUP($A152,[1]Hugst!$R$5:$W$9,MATCH(ROUNDUP((AD$1)/10,0)*10,[1]Hugst!$R$4:$W$4,0))))</f>
        <v>363.44874031881761</v>
      </c>
      <c r="AE152">
        <f ca="1">IF($C152-AE$1&lt;År1,0,AD151*(1-VLOOKUP($A152,[1]Hugst!$R$5:$W$9,MATCH(ROUNDUP((AE$1)/10,0)*10,[1]Hugst!$R$4:$W$4,0))))</f>
        <v>363.98985181758314</v>
      </c>
      <c r="AF152">
        <f ca="1">IF($C152-AF$1&lt;År1,0,AE151*(1-VLOOKUP($A152,[1]Hugst!$R$5:$W$9,MATCH(ROUNDUP((AF$1)/10,0)*10,[1]Hugst!$R$4:$W$4,0))))</f>
        <v>364.53368246961463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496.91896302078652</v>
      </c>
      <c r="G153">
        <f ca="1">IF($C153-G$1&lt;År1,0,F152*(1-VLOOKUP($A153,[1]Hugst!$R$5:$W$9,MATCH(ROUNDUP((G$1)/10,0)*10,[1]Hugst!$R$4:$W$4,0))))</f>
        <v>497.39634253869866</v>
      </c>
      <c r="H153">
        <f ca="1">IF($C153-H$1&lt;År1,0,G152*(1-VLOOKUP($A153,[1]Hugst!$R$5:$W$9,MATCH(ROUNDUP((H$1)/10,0)*10,[1]Hugst!$R$4:$W$4,0))))</f>
        <v>497.87612094865148</v>
      </c>
      <c r="I153">
        <f ca="1">IF($C153-I$1&lt;År1,0,H152*(1-VLOOKUP($A153,[1]Hugst!$R$5:$W$9,MATCH(ROUNDUP((I$1)/10,0)*10,[1]Hugst!$R$4:$W$4,0))))</f>
        <v>498.35831030539106</v>
      </c>
      <c r="J153">
        <f ca="1">IF($C153-J$1&lt;År1,0,I152*(1-VLOOKUP($A153,[1]Hugst!$R$5:$W$9,MATCH(ROUNDUP((J$1)/10,0)*10,[1]Hugst!$R$4:$W$4,0))))</f>
        <v>498.84292272422448</v>
      </c>
      <c r="K153">
        <f ca="1">IF($C153-K$1&lt;År1,0,J152*(1-VLOOKUP($A153,[1]Hugst!$R$5:$W$9,MATCH(ROUNDUP((K$1)/10,0)*10,[1]Hugst!$R$4:$W$4,0))))</f>
        <v>499.32997038134494</v>
      </c>
      <c r="L153">
        <f ca="1">IF($C153-L$1&lt;År1,0,K152*(1-VLOOKUP($A153,[1]Hugst!$R$5:$W$9,MATCH(ROUNDUP((L$1)/10,0)*10,[1]Hugst!$R$4:$W$4,0))))</f>
        <v>499.8194655141296</v>
      </c>
      <c r="M153">
        <f ca="1">IF($C153-M$1&lt;År1,0,L152*(1-VLOOKUP($A153,[1]Hugst!$R$5:$W$9,MATCH(ROUNDUP((M$1)/10,0)*10,[1]Hugst!$R$4:$W$4,0))))</f>
        <v>500.31142042144751</v>
      </c>
      <c r="N153">
        <f ca="1">IF($C153-N$1&lt;År1,0,M152*(1-VLOOKUP($A153,[1]Hugst!$R$5:$W$9,MATCH(ROUNDUP((N$1)/10,0)*10,[1]Hugst!$R$4:$W$4,0))))</f>
        <v>500.80584746397761</v>
      </c>
      <c r="O153">
        <f ca="1">IF($C153-O$1&lt;År1,0,N152*(1-VLOOKUP($A153,[1]Hugst!$R$5:$W$9,MATCH(ROUNDUP((O$1)/10,0)*10,[1]Hugst!$R$4:$W$4,0))))</f>
        <v>501.30275906451851</v>
      </c>
      <c r="P153">
        <f ca="1">IF($C153-P$1&lt;År1,0,O152*(1-VLOOKUP($A153,[1]Hugst!$R$5:$W$9,MATCH(ROUNDUP((P$1)/10,0)*10,[1]Hugst!$R$4:$W$4,0))))</f>
        <v>501.80216770826922</v>
      </c>
      <c r="Q153">
        <f ca="1">IF($C153-Q$1&lt;År1,0,P152*(1-VLOOKUP($A153,[1]Hugst!$R$5:$W$9,MATCH(ROUNDUP((Q$1)/10,0)*10,[1]Hugst!$R$4:$W$4,0))))</f>
        <v>502.30408594319869</v>
      </c>
      <c r="R153">
        <f ca="1">IF($C153-R$1&lt;År1,0,Q152*(1-VLOOKUP($A153,[1]Hugst!$R$5:$W$9,MATCH(ROUNDUP((R$1)/10,0)*10,[1]Hugst!$R$4:$W$4,0))))</f>
        <v>502.80852638031337</v>
      </c>
      <c r="S153">
        <f ca="1">IF($C153-S$1&lt;År1,0,R152*(1-VLOOKUP($A153,[1]Hugst!$R$5:$W$9,MATCH(ROUNDUP((S$1)/10,0)*10,[1]Hugst!$R$4:$W$4,0))))</f>
        <v>503.31550169399378</v>
      </c>
      <c r="T153">
        <f ca="1">IF($C153-T$1&lt;År1,0,S152*(1-VLOOKUP($A153,[1]Hugst!$R$5:$W$9,MATCH(ROUNDUP((T$1)/10,0)*10,[1]Hugst!$R$4:$W$4,0))))</f>
        <v>503.82502462231758</v>
      </c>
      <c r="U153">
        <f ca="1">IF($C153-U$1&lt;År1,0,T152*(1-VLOOKUP($A153,[1]Hugst!$R$5:$W$9,MATCH(ROUNDUP((U$1)/10,0)*10,[1]Hugst!$R$4:$W$4,0))))</f>
        <v>504.33710796736972</v>
      </c>
      <c r="V153">
        <f ca="1">IF($C153-V$1&lt;År1,0,U152*(1-VLOOKUP($A153,[1]Hugst!$R$5:$W$9,MATCH(ROUNDUP((V$1)/10,0)*10,[1]Hugst!$R$4:$W$4,0))))</f>
        <v>504.85176459555504</v>
      </c>
      <c r="W153">
        <f ca="1">IF($C153-W$1&lt;År1,0,V152*(1-VLOOKUP($A153,[1]Hugst!$R$5:$W$9,MATCH(ROUNDUP((W$1)/10,0)*10,[1]Hugst!$R$4:$W$4,0))))</f>
        <v>359.21612054433638</v>
      </c>
      <c r="X153">
        <f ca="1">IF($C153-X$1&lt;År1,0,W152*(1-VLOOKUP($A153,[1]Hugst!$R$5:$W$9,MATCH(ROUNDUP((X$1)/10,0)*10,[1]Hugst!$R$4:$W$4,0))))</f>
        <v>359.73596259699673</v>
      </c>
      <c r="Y153">
        <f ca="1">IF($C153-Y$1&lt;År1,0,X152*(1-VLOOKUP($A153,[1]Hugst!$R$5:$W$9,MATCH(ROUNDUP((Y$1)/10,0)*10,[1]Hugst!$R$4:$W$4,0))))</f>
        <v>360.2584169212887</v>
      </c>
      <c r="Z153">
        <f ca="1">IF($C153-Z$1&lt;År1,0,Y152*(1-VLOOKUP($A153,[1]Hugst!$R$5:$W$9,MATCH(ROUNDUP((Z$1)/10,0)*10,[1]Hugst!$R$4:$W$4,0))))</f>
        <v>360.7834966441892</v>
      </c>
      <c r="AA153">
        <f ca="1">IF($C153-AA$1&lt;År1,0,Z152*(1-VLOOKUP($A153,[1]Hugst!$R$5:$W$9,MATCH(ROUNDUP((AA$1)/10,0)*10,[1]Hugst!$R$4:$W$4,0))))</f>
        <v>361.31121495866228</v>
      </c>
      <c r="AB153">
        <f ca="1">IF($C153-AB$1&lt;År1,0,AA152*(1-VLOOKUP($A153,[1]Hugst!$R$5:$W$9,MATCH(ROUNDUP((AB$1)/10,0)*10,[1]Hugst!$R$4:$W$4,0))))</f>
        <v>361.84158512396232</v>
      </c>
      <c r="AC153">
        <f ca="1">IF($C153-AC$1&lt;År1,0,AB152*(1-VLOOKUP($A153,[1]Hugst!$R$5:$W$9,MATCH(ROUNDUP((AC$1)/10,0)*10,[1]Hugst!$R$4:$W$4,0))))</f>
        <v>362.37462046597341</v>
      </c>
      <c r="AD153">
        <f ca="1">IF($C153-AD$1&lt;År1,0,AC152*(1-VLOOKUP($A153,[1]Hugst!$R$5:$W$9,MATCH(ROUNDUP((AD$1)/10,0)*10,[1]Hugst!$R$4:$W$4,0))))</f>
        <v>362.9103343775422</v>
      </c>
      <c r="AE153">
        <f ca="1">IF($C153-AE$1&lt;År1,0,AD152*(1-VLOOKUP($A153,[1]Hugst!$R$5:$W$9,MATCH(ROUNDUP((AE$1)/10,0)*10,[1]Hugst!$R$4:$W$4,0))))</f>
        <v>363.44874031881761</v>
      </c>
      <c r="AF153">
        <f ca="1">IF($C153-AF$1&lt;År1,0,AE152*(1-VLOOKUP($A153,[1]Hugst!$R$5:$W$9,MATCH(ROUNDUP((AF$1)/10,0)*10,[1]Hugst!$R$4:$W$4,0))))</f>
        <v>363.98985181758314</v>
      </c>
      <c r="AG153">
        <f ca="1">IF($C153-AG$1&lt;År1,0,AF152*(1-VLOOKUP($A153,[1]Hugst!$R$5:$W$9,MATCH(ROUNDUP((AG$1)/10,0)*10,[1]Hugst!$R$4:$W$4,0))))</f>
        <v>364.53368246961463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496.44397040047301</v>
      </c>
      <c r="G154">
        <f ca="1">IF($C154-G$1&lt;År1,0,F153*(1-VLOOKUP($A154,[1]Hugst!$R$5:$W$9,MATCH(ROUNDUP((G$1)/10,0)*10,[1]Hugst!$R$4:$W$4,0))))</f>
        <v>496.91896302078652</v>
      </c>
      <c r="H154">
        <f ca="1">IF($C154-H$1&lt;År1,0,G153*(1-VLOOKUP($A154,[1]Hugst!$R$5:$W$9,MATCH(ROUNDUP((H$1)/10,0)*10,[1]Hugst!$R$4:$W$4,0))))</f>
        <v>497.39634253869866</v>
      </c>
      <c r="I154">
        <f ca="1">IF($C154-I$1&lt;År1,0,H153*(1-VLOOKUP($A154,[1]Hugst!$R$5:$W$9,MATCH(ROUNDUP((I$1)/10,0)*10,[1]Hugst!$R$4:$W$4,0))))</f>
        <v>497.87612094865148</v>
      </c>
      <c r="J154">
        <f ca="1">IF($C154-J$1&lt;År1,0,I153*(1-VLOOKUP($A154,[1]Hugst!$R$5:$W$9,MATCH(ROUNDUP((J$1)/10,0)*10,[1]Hugst!$R$4:$W$4,0))))</f>
        <v>498.35831030539106</v>
      </c>
      <c r="K154">
        <f ca="1">IF($C154-K$1&lt;År1,0,J153*(1-VLOOKUP($A154,[1]Hugst!$R$5:$W$9,MATCH(ROUNDUP((K$1)/10,0)*10,[1]Hugst!$R$4:$W$4,0))))</f>
        <v>498.84292272422448</v>
      </c>
      <c r="L154">
        <f ca="1">IF($C154-L$1&lt;År1,0,K153*(1-VLOOKUP($A154,[1]Hugst!$R$5:$W$9,MATCH(ROUNDUP((L$1)/10,0)*10,[1]Hugst!$R$4:$W$4,0))))</f>
        <v>499.32997038134494</v>
      </c>
      <c r="M154">
        <f ca="1">IF($C154-M$1&lt;År1,0,L153*(1-VLOOKUP($A154,[1]Hugst!$R$5:$W$9,MATCH(ROUNDUP((M$1)/10,0)*10,[1]Hugst!$R$4:$W$4,0))))</f>
        <v>499.8194655141296</v>
      </c>
      <c r="N154">
        <f ca="1">IF($C154-N$1&lt;År1,0,M153*(1-VLOOKUP($A154,[1]Hugst!$R$5:$W$9,MATCH(ROUNDUP((N$1)/10,0)*10,[1]Hugst!$R$4:$W$4,0))))</f>
        <v>500.31142042144751</v>
      </c>
      <c r="O154">
        <f ca="1">IF($C154-O$1&lt;År1,0,N153*(1-VLOOKUP($A154,[1]Hugst!$R$5:$W$9,MATCH(ROUNDUP((O$1)/10,0)*10,[1]Hugst!$R$4:$W$4,0))))</f>
        <v>500.80584746397761</v>
      </c>
      <c r="P154">
        <f ca="1">IF($C154-P$1&lt;År1,0,O153*(1-VLOOKUP($A154,[1]Hugst!$R$5:$W$9,MATCH(ROUNDUP((P$1)/10,0)*10,[1]Hugst!$R$4:$W$4,0))))</f>
        <v>501.30275906451851</v>
      </c>
      <c r="Q154">
        <f ca="1">IF($C154-Q$1&lt;År1,0,P153*(1-VLOOKUP($A154,[1]Hugst!$R$5:$W$9,MATCH(ROUNDUP((Q$1)/10,0)*10,[1]Hugst!$R$4:$W$4,0))))</f>
        <v>501.80216770826922</v>
      </c>
      <c r="R154">
        <f ca="1">IF($C154-R$1&lt;År1,0,Q153*(1-VLOOKUP($A154,[1]Hugst!$R$5:$W$9,MATCH(ROUNDUP((R$1)/10,0)*10,[1]Hugst!$R$4:$W$4,0))))</f>
        <v>502.30408594319869</v>
      </c>
      <c r="S154">
        <f ca="1">IF($C154-S$1&lt;År1,0,R153*(1-VLOOKUP($A154,[1]Hugst!$R$5:$W$9,MATCH(ROUNDUP((S$1)/10,0)*10,[1]Hugst!$R$4:$W$4,0))))</f>
        <v>502.80852638031337</v>
      </c>
      <c r="T154">
        <f ca="1">IF($C154-T$1&lt;År1,0,S153*(1-VLOOKUP($A154,[1]Hugst!$R$5:$W$9,MATCH(ROUNDUP((T$1)/10,0)*10,[1]Hugst!$R$4:$W$4,0))))</f>
        <v>503.31550169399378</v>
      </c>
      <c r="U154">
        <f ca="1">IF($C154-U$1&lt;År1,0,T153*(1-VLOOKUP($A154,[1]Hugst!$R$5:$W$9,MATCH(ROUNDUP((U$1)/10,0)*10,[1]Hugst!$R$4:$W$4,0))))</f>
        <v>503.82502462231758</v>
      </c>
      <c r="V154">
        <f ca="1">IF($C154-V$1&lt;År1,0,U153*(1-VLOOKUP($A154,[1]Hugst!$R$5:$W$9,MATCH(ROUNDUP((V$1)/10,0)*10,[1]Hugst!$R$4:$W$4,0))))</f>
        <v>504.33710796736972</v>
      </c>
      <c r="W154">
        <f ca="1">IF($C154-W$1&lt;År1,0,V153*(1-VLOOKUP($A154,[1]Hugst!$R$5:$W$9,MATCH(ROUNDUP((W$1)/10,0)*10,[1]Hugst!$R$4:$W$4,0))))</f>
        <v>504.85176459555504</v>
      </c>
      <c r="X154">
        <f ca="1">IF($C154-X$1&lt;År1,0,W153*(1-VLOOKUP($A154,[1]Hugst!$R$5:$W$9,MATCH(ROUNDUP((X$1)/10,0)*10,[1]Hugst!$R$4:$W$4,0))))</f>
        <v>359.21612054433638</v>
      </c>
      <c r="Y154">
        <f ca="1">IF($C154-Y$1&lt;År1,0,X153*(1-VLOOKUP($A154,[1]Hugst!$R$5:$W$9,MATCH(ROUNDUP((Y$1)/10,0)*10,[1]Hugst!$R$4:$W$4,0))))</f>
        <v>359.73596259699673</v>
      </c>
      <c r="Z154">
        <f ca="1">IF($C154-Z$1&lt;År1,0,Y153*(1-VLOOKUP($A154,[1]Hugst!$R$5:$W$9,MATCH(ROUNDUP((Z$1)/10,0)*10,[1]Hugst!$R$4:$W$4,0))))</f>
        <v>360.2584169212887</v>
      </c>
      <c r="AA154">
        <f ca="1">IF($C154-AA$1&lt;År1,0,Z153*(1-VLOOKUP($A154,[1]Hugst!$R$5:$W$9,MATCH(ROUNDUP((AA$1)/10,0)*10,[1]Hugst!$R$4:$W$4,0))))</f>
        <v>360.7834966441892</v>
      </c>
      <c r="AB154">
        <f ca="1">IF($C154-AB$1&lt;År1,0,AA153*(1-VLOOKUP($A154,[1]Hugst!$R$5:$W$9,MATCH(ROUNDUP((AB$1)/10,0)*10,[1]Hugst!$R$4:$W$4,0))))</f>
        <v>361.31121495866228</v>
      </c>
      <c r="AC154">
        <f ca="1">IF($C154-AC$1&lt;År1,0,AB153*(1-VLOOKUP($A154,[1]Hugst!$R$5:$W$9,MATCH(ROUNDUP((AC$1)/10,0)*10,[1]Hugst!$R$4:$W$4,0))))</f>
        <v>361.84158512396232</v>
      </c>
      <c r="AD154">
        <f ca="1">IF($C154-AD$1&lt;År1,0,AC153*(1-VLOOKUP($A154,[1]Hugst!$R$5:$W$9,MATCH(ROUNDUP((AD$1)/10,0)*10,[1]Hugst!$R$4:$W$4,0))))</f>
        <v>362.37462046597341</v>
      </c>
      <c r="AE154">
        <f ca="1">IF($C154-AE$1&lt;År1,0,AD153*(1-VLOOKUP($A154,[1]Hugst!$R$5:$W$9,MATCH(ROUNDUP((AE$1)/10,0)*10,[1]Hugst!$R$4:$W$4,0))))</f>
        <v>362.9103343775422</v>
      </c>
      <c r="AF154">
        <f ca="1">IF($C154-AF$1&lt;År1,0,AE153*(1-VLOOKUP($A154,[1]Hugst!$R$5:$W$9,MATCH(ROUNDUP((AF$1)/10,0)*10,[1]Hugst!$R$4:$W$4,0))))</f>
        <v>363.44874031881761</v>
      </c>
      <c r="AG154">
        <f ca="1">IF($C154-AG$1&lt;År1,0,AF153*(1-VLOOKUP($A154,[1]Hugst!$R$5:$W$9,MATCH(ROUNDUP((AG$1)/10,0)*10,[1]Hugst!$R$4:$W$4,0))))</f>
        <v>363.98985181758314</v>
      </c>
      <c r="AH154">
        <f ca="1">IF($C154-AH$1&lt;År1,0,AG153*(1-VLOOKUP($A154,[1]Hugst!$R$5:$W$9,MATCH(ROUNDUP((AH$1)/10,0)*10,[1]Hugst!$R$4:$W$4,0))))</f>
        <v>364.53368246961463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495.97135274325814</v>
      </c>
      <c r="G155">
        <f ca="1">IF($C155-G$1&lt;År1,0,F154*(1-VLOOKUP($A155,[1]Hugst!$R$5:$W$9,MATCH(ROUNDUP((G$1)/10,0)*10,[1]Hugst!$R$4:$W$4,0))))</f>
        <v>496.44397040047301</v>
      </c>
      <c r="H155">
        <f ca="1">IF($C155-H$1&lt;År1,0,G154*(1-VLOOKUP($A155,[1]Hugst!$R$5:$W$9,MATCH(ROUNDUP((H$1)/10,0)*10,[1]Hugst!$R$4:$W$4,0))))</f>
        <v>496.91896302078652</v>
      </c>
      <c r="I155">
        <f ca="1">IF($C155-I$1&lt;År1,0,H154*(1-VLOOKUP($A155,[1]Hugst!$R$5:$W$9,MATCH(ROUNDUP((I$1)/10,0)*10,[1]Hugst!$R$4:$W$4,0))))</f>
        <v>497.39634253869866</v>
      </c>
      <c r="J155">
        <f ca="1">IF($C155-J$1&lt;År1,0,I154*(1-VLOOKUP($A155,[1]Hugst!$R$5:$W$9,MATCH(ROUNDUP((J$1)/10,0)*10,[1]Hugst!$R$4:$W$4,0))))</f>
        <v>497.87612094865148</v>
      </c>
      <c r="K155">
        <f ca="1">IF($C155-K$1&lt;År1,0,J154*(1-VLOOKUP($A155,[1]Hugst!$R$5:$W$9,MATCH(ROUNDUP((K$1)/10,0)*10,[1]Hugst!$R$4:$W$4,0))))</f>
        <v>498.35831030539106</v>
      </c>
      <c r="L155">
        <f ca="1">IF($C155-L$1&lt;År1,0,K154*(1-VLOOKUP($A155,[1]Hugst!$R$5:$W$9,MATCH(ROUNDUP((L$1)/10,0)*10,[1]Hugst!$R$4:$W$4,0))))</f>
        <v>498.84292272422448</v>
      </c>
      <c r="M155">
        <f ca="1">IF($C155-M$1&lt;År1,0,L154*(1-VLOOKUP($A155,[1]Hugst!$R$5:$W$9,MATCH(ROUNDUP((M$1)/10,0)*10,[1]Hugst!$R$4:$W$4,0))))</f>
        <v>499.32997038134494</v>
      </c>
      <c r="N155">
        <f ca="1">IF($C155-N$1&lt;År1,0,M154*(1-VLOOKUP($A155,[1]Hugst!$R$5:$W$9,MATCH(ROUNDUP((N$1)/10,0)*10,[1]Hugst!$R$4:$W$4,0))))</f>
        <v>499.8194655141296</v>
      </c>
      <c r="O155">
        <f ca="1">IF($C155-O$1&lt;År1,0,N154*(1-VLOOKUP($A155,[1]Hugst!$R$5:$W$9,MATCH(ROUNDUP((O$1)/10,0)*10,[1]Hugst!$R$4:$W$4,0))))</f>
        <v>500.31142042144751</v>
      </c>
      <c r="P155">
        <f ca="1">IF($C155-P$1&lt;År1,0,O154*(1-VLOOKUP($A155,[1]Hugst!$R$5:$W$9,MATCH(ROUNDUP((P$1)/10,0)*10,[1]Hugst!$R$4:$W$4,0))))</f>
        <v>500.80584746397761</v>
      </c>
      <c r="Q155">
        <f ca="1">IF($C155-Q$1&lt;År1,0,P154*(1-VLOOKUP($A155,[1]Hugst!$R$5:$W$9,MATCH(ROUNDUP((Q$1)/10,0)*10,[1]Hugst!$R$4:$W$4,0))))</f>
        <v>501.30275906451851</v>
      </c>
      <c r="R155">
        <f ca="1">IF($C155-R$1&lt;År1,0,Q154*(1-VLOOKUP($A155,[1]Hugst!$R$5:$W$9,MATCH(ROUNDUP((R$1)/10,0)*10,[1]Hugst!$R$4:$W$4,0))))</f>
        <v>501.80216770826922</v>
      </c>
      <c r="S155">
        <f ca="1">IF($C155-S$1&lt;År1,0,R154*(1-VLOOKUP($A155,[1]Hugst!$R$5:$W$9,MATCH(ROUNDUP((S$1)/10,0)*10,[1]Hugst!$R$4:$W$4,0))))</f>
        <v>502.30408594319869</v>
      </c>
      <c r="T155">
        <f ca="1">IF($C155-T$1&lt;År1,0,S154*(1-VLOOKUP($A155,[1]Hugst!$R$5:$W$9,MATCH(ROUNDUP((T$1)/10,0)*10,[1]Hugst!$R$4:$W$4,0))))</f>
        <v>502.80852638031337</v>
      </c>
      <c r="U155">
        <f ca="1">IF($C155-U$1&lt;År1,0,T154*(1-VLOOKUP($A155,[1]Hugst!$R$5:$W$9,MATCH(ROUNDUP((U$1)/10,0)*10,[1]Hugst!$R$4:$W$4,0))))</f>
        <v>503.31550169399378</v>
      </c>
      <c r="V155">
        <f ca="1">IF($C155-V$1&lt;År1,0,U154*(1-VLOOKUP($A155,[1]Hugst!$R$5:$W$9,MATCH(ROUNDUP((V$1)/10,0)*10,[1]Hugst!$R$4:$W$4,0))))</f>
        <v>503.82502462231758</v>
      </c>
      <c r="W155">
        <f ca="1">IF($C155-W$1&lt;År1,0,V154*(1-VLOOKUP($A155,[1]Hugst!$R$5:$W$9,MATCH(ROUNDUP((W$1)/10,0)*10,[1]Hugst!$R$4:$W$4,0))))</f>
        <v>504.33710796736972</v>
      </c>
      <c r="X155">
        <f ca="1">IF($C155-X$1&lt;År1,0,W154*(1-VLOOKUP($A155,[1]Hugst!$R$5:$W$9,MATCH(ROUNDUP((X$1)/10,0)*10,[1]Hugst!$R$4:$W$4,0))))</f>
        <v>504.85176459555504</v>
      </c>
      <c r="Y155">
        <f ca="1">IF($C155-Y$1&lt;År1,0,X154*(1-VLOOKUP($A155,[1]Hugst!$R$5:$W$9,MATCH(ROUNDUP((Y$1)/10,0)*10,[1]Hugst!$R$4:$W$4,0))))</f>
        <v>359.21612054433638</v>
      </c>
      <c r="Z155">
        <f ca="1">IF($C155-Z$1&lt;År1,0,Y154*(1-VLOOKUP($A155,[1]Hugst!$R$5:$W$9,MATCH(ROUNDUP((Z$1)/10,0)*10,[1]Hugst!$R$4:$W$4,0))))</f>
        <v>359.73596259699673</v>
      </c>
      <c r="AA155">
        <f ca="1">IF($C155-AA$1&lt;År1,0,Z154*(1-VLOOKUP($A155,[1]Hugst!$R$5:$W$9,MATCH(ROUNDUP((AA$1)/10,0)*10,[1]Hugst!$R$4:$W$4,0))))</f>
        <v>360.2584169212887</v>
      </c>
      <c r="AB155">
        <f ca="1">IF($C155-AB$1&lt;År1,0,AA154*(1-VLOOKUP($A155,[1]Hugst!$R$5:$W$9,MATCH(ROUNDUP((AB$1)/10,0)*10,[1]Hugst!$R$4:$W$4,0))))</f>
        <v>360.7834966441892</v>
      </c>
      <c r="AC155">
        <f ca="1">IF($C155-AC$1&lt;År1,0,AB154*(1-VLOOKUP($A155,[1]Hugst!$R$5:$W$9,MATCH(ROUNDUP((AC$1)/10,0)*10,[1]Hugst!$R$4:$W$4,0))))</f>
        <v>361.31121495866228</v>
      </c>
      <c r="AD155">
        <f ca="1">IF($C155-AD$1&lt;År1,0,AC154*(1-VLOOKUP($A155,[1]Hugst!$R$5:$W$9,MATCH(ROUNDUP((AD$1)/10,0)*10,[1]Hugst!$R$4:$W$4,0))))</f>
        <v>361.84158512396232</v>
      </c>
      <c r="AE155">
        <f ca="1">IF($C155-AE$1&lt;År1,0,AD154*(1-VLOOKUP($A155,[1]Hugst!$R$5:$W$9,MATCH(ROUNDUP((AE$1)/10,0)*10,[1]Hugst!$R$4:$W$4,0))))</f>
        <v>362.37462046597341</v>
      </c>
      <c r="AF155">
        <f ca="1">IF($C155-AF$1&lt;År1,0,AE154*(1-VLOOKUP($A155,[1]Hugst!$R$5:$W$9,MATCH(ROUNDUP((AF$1)/10,0)*10,[1]Hugst!$R$4:$W$4,0))))</f>
        <v>362.9103343775422</v>
      </c>
      <c r="AG155">
        <f ca="1">IF($C155-AG$1&lt;År1,0,AF154*(1-VLOOKUP($A155,[1]Hugst!$R$5:$W$9,MATCH(ROUNDUP((AG$1)/10,0)*10,[1]Hugst!$R$4:$W$4,0))))</f>
        <v>363.44874031881761</v>
      </c>
      <c r="AH155">
        <f ca="1">IF($C155-AH$1&lt;År1,0,AG154*(1-VLOOKUP($A155,[1]Hugst!$R$5:$W$9,MATCH(ROUNDUP((AH$1)/10,0)*10,[1]Hugst!$R$4:$W$4,0))))</f>
        <v>363.98985181758314</v>
      </c>
      <c r="AI155">
        <f ca="1">IF($C155-AI$1&lt;År1,0,AH154*(1-VLOOKUP($A155,[1]Hugst!$R$5:$W$9,MATCH(ROUNDUP((AI$1)/10,0)*10,[1]Hugst!$R$4:$W$4,0))))</f>
        <v>364.53368246961463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0.66278851358219981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496.16388668791291</v>
      </c>
      <c r="G156">
        <f ca="1">IF($C156-G$1&lt;År1,0,F155*(1-VLOOKUP($A156,[1]Hugst!$R$5:$W$9,MATCH(ROUNDUP((G$1)/10,0)*10,[1]Hugst!$R$4:$W$4,0))))</f>
        <v>495.97135274325814</v>
      </c>
      <c r="H156">
        <f ca="1">IF($C156-H$1&lt;År1,0,G155*(1-VLOOKUP($A156,[1]Hugst!$R$5:$W$9,MATCH(ROUNDUP((H$1)/10,0)*10,[1]Hugst!$R$4:$W$4,0))))</f>
        <v>496.44397040047301</v>
      </c>
      <c r="I156">
        <f ca="1">IF($C156-I$1&lt;År1,0,H155*(1-VLOOKUP($A156,[1]Hugst!$R$5:$W$9,MATCH(ROUNDUP((I$1)/10,0)*10,[1]Hugst!$R$4:$W$4,0))))</f>
        <v>496.91896302078652</v>
      </c>
      <c r="J156">
        <f ca="1">IF($C156-J$1&lt;År1,0,I155*(1-VLOOKUP($A156,[1]Hugst!$R$5:$W$9,MATCH(ROUNDUP((J$1)/10,0)*10,[1]Hugst!$R$4:$W$4,0))))</f>
        <v>497.39634253869866</v>
      </c>
      <c r="K156">
        <f ca="1">IF($C156-K$1&lt;År1,0,J155*(1-VLOOKUP($A156,[1]Hugst!$R$5:$W$9,MATCH(ROUNDUP((K$1)/10,0)*10,[1]Hugst!$R$4:$W$4,0))))</f>
        <v>497.87612094865148</v>
      </c>
      <c r="L156">
        <f ca="1">IF($C156-L$1&lt;År1,0,K155*(1-VLOOKUP($A156,[1]Hugst!$R$5:$W$9,MATCH(ROUNDUP((L$1)/10,0)*10,[1]Hugst!$R$4:$W$4,0))))</f>
        <v>498.35831030539106</v>
      </c>
      <c r="M156">
        <f ca="1">IF($C156-M$1&lt;År1,0,L155*(1-VLOOKUP($A156,[1]Hugst!$R$5:$W$9,MATCH(ROUNDUP((M$1)/10,0)*10,[1]Hugst!$R$4:$W$4,0))))</f>
        <v>498.84292272422448</v>
      </c>
      <c r="N156">
        <f ca="1">IF($C156-N$1&lt;År1,0,M155*(1-VLOOKUP($A156,[1]Hugst!$R$5:$W$9,MATCH(ROUNDUP((N$1)/10,0)*10,[1]Hugst!$R$4:$W$4,0))))</f>
        <v>499.32997038134494</v>
      </c>
      <c r="O156">
        <f ca="1">IF($C156-O$1&lt;År1,0,N155*(1-VLOOKUP($A156,[1]Hugst!$R$5:$W$9,MATCH(ROUNDUP((O$1)/10,0)*10,[1]Hugst!$R$4:$W$4,0))))</f>
        <v>499.8194655141296</v>
      </c>
      <c r="P156">
        <f ca="1">IF($C156-P$1&lt;År1,0,O155*(1-VLOOKUP($A156,[1]Hugst!$R$5:$W$9,MATCH(ROUNDUP((P$1)/10,0)*10,[1]Hugst!$R$4:$W$4,0))))</f>
        <v>500.31142042144751</v>
      </c>
      <c r="Q156">
        <f ca="1">IF($C156-Q$1&lt;År1,0,P155*(1-VLOOKUP($A156,[1]Hugst!$R$5:$W$9,MATCH(ROUNDUP((Q$1)/10,0)*10,[1]Hugst!$R$4:$W$4,0))))</f>
        <v>500.80584746397761</v>
      </c>
      <c r="R156">
        <f ca="1">IF($C156-R$1&lt;År1,0,Q155*(1-VLOOKUP($A156,[1]Hugst!$R$5:$W$9,MATCH(ROUNDUP((R$1)/10,0)*10,[1]Hugst!$R$4:$W$4,0))))</f>
        <v>501.30275906451851</v>
      </c>
      <c r="S156">
        <f ca="1">IF($C156-S$1&lt;År1,0,R155*(1-VLOOKUP($A156,[1]Hugst!$R$5:$W$9,MATCH(ROUNDUP((S$1)/10,0)*10,[1]Hugst!$R$4:$W$4,0))))</f>
        <v>501.80216770826922</v>
      </c>
      <c r="T156">
        <f ca="1">IF($C156-T$1&lt;År1,0,S155*(1-VLOOKUP($A156,[1]Hugst!$R$5:$W$9,MATCH(ROUNDUP((T$1)/10,0)*10,[1]Hugst!$R$4:$W$4,0))))</f>
        <v>502.30408594319869</v>
      </c>
      <c r="U156">
        <f ca="1">IF($C156-U$1&lt;År1,0,T155*(1-VLOOKUP($A156,[1]Hugst!$R$5:$W$9,MATCH(ROUNDUP((U$1)/10,0)*10,[1]Hugst!$R$4:$W$4,0))))</f>
        <v>502.80852638031337</v>
      </c>
      <c r="V156">
        <f ca="1">IF($C156-V$1&lt;År1,0,U155*(1-VLOOKUP($A156,[1]Hugst!$R$5:$W$9,MATCH(ROUNDUP((V$1)/10,0)*10,[1]Hugst!$R$4:$W$4,0))))</f>
        <v>503.31550169399378</v>
      </c>
      <c r="W156">
        <f ca="1">IF($C156-W$1&lt;År1,0,V155*(1-VLOOKUP($A156,[1]Hugst!$R$5:$W$9,MATCH(ROUNDUP((W$1)/10,0)*10,[1]Hugst!$R$4:$W$4,0))))</f>
        <v>503.82502462231758</v>
      </c>
      <c r="X156">
        <f ca="1">IF($C156-X$1&lt;År1,0,W155*(1-VLOOKUP($A156,[1]Hugst!$R$5:$W$9,MATCH(ROUNDUP((X$1)/10,0)*10,[1]Hugst!$R$4:$W$4,0))))</f>
        <v>504.33710796736972</v>
      </c>
      <c r="Y156">
        <f ca="1">IF($C156-Y$1&lt;År1,0,X155*(1-VLOOKUP($A156,[1]Hugst!$R$5:$W$9,MATCH(ROUNDUP((Y$1)/10,0)*10,[1]Hugst!$R$4:$W$4,0))))</f>
        <v>504.85176459555504</v>
      </c>
      <c r="Z156">
        <f ca="1">IF($C156-Z$1&lt;År1,0,Y155*(1-VLOOKUP($A156,[1]Hugst!$R$5:$W$9,MATCH(ROUNDUP((Z$1)/10,0)*10,[1]Hugst!$R$4:$W$4,0))))</f>
        <v>359.21612054433638</v>
      </c>
      <c r="AA156">
        <f ca="1">IF($C156-AA$1&lt;År1,0,Z155*(1-VLOOKUP($A156,[1]Hugst!$R$5:$W$9,MATCH(ROUNDUP((AA$1)/10,0)*10,[1]Hugst!$R$4:$W$4,0))))</f>
        <v>359.73596259699673</v>
      </c>
      <c r="AB156">
        <f ca="1">IF($C156-AB$1&lt;År1,0,AA155*(1-VLOOKUP($A156,[1]Hugst!$R$5:$W$9,MATCH(ROUNDUP((AB$1)/10,0)*10,[1]Hugst!$R$4:$W$4,0))))</f>
        <v>360.2584169212887</v>
      </c>
      <c r="AC156">
        <f ca="1">IF($C156-AC$1&lt;År1,0,AB155*(1-VLOOKUP($A156,[1]Hugst!$R$5:$W$9,MATCH(ROUNDUP((AC$1)/10,0)*10,[1]Hugst!$R$4:$W$4,0))))</f>
        <v>360.7834966441892</v>
      </c>
      <c r="AD156">
        <f ca="1">IF($C156-AD$1&lt;År1,0,AC155*(1-VLOOKUP($A156,[1]Hugst!$R$5:$W$9,MATCH(ROUNDUP((AD$1)/10,0)*10,[1]Hugst!$R$4:$W$4,0))))</f>
        <v>361.31121495866228</v>
      </c>
      <c r="AE156">
        <f ca="1">IF($C156-AE$1&lt;År1,0,AD155*(1-VLOOKUP($A156,[1]Hugst!$R$5:$W$9,MATCH(ROUNDUP((AE$1)/10,0)*10,[1]Hugst!$R$4:$W$4,0))))</f>
        <v>361.84158512396232</v>
      </c>
      <c r="AF156">
        <f ca="1">IF($C156-AF$1&lt;År1,0,AE155*(1-VLOOKUP($A156,[1]Hugst!$R$5:$W$9,MATCH(ROUNDUP((AF$1)/10,0)*10,[1]Hugst!$R$4:$W$4,0))))</f>
        <v>362.37462046597341</v>
      </c>
      <c r="AG156">
        <f ca="1">IF($C156-AG$1&lt;År1,0,AF155*(1-VLOOKUP($A156,[1]Hugst!$R$5:$W$9,MATCH(ROUNDUP((AG$1)/10,0)*10,[1]Hugst!$R$4:$W$4,0))))</f>
        <v>362.9103343775422</v>
      </c>
      <c r="AH156">
        <f ca="1">IF($C156-AH$1&lt;År1,0,AG155*(1-VLOOKUP($A156,[1]Hugst!$R$5:$W$9,MATCH(ROUNDUP((AH$1)/10,0)*10,[1]Hugst!$R$4:$W$4,0))))</f>
        <v>363.44874031881761</v>
      </c>
      <c r="AI156">
        <f ca="1">IF($C156-AI$1&lt;År1,0,AH155*(1-VLOOKUP($A156,[1]Hugst!$R$5:$W$9,MATCH(ROUNDUP((AI$1)/10,0)*10,[1]Hugst!$R$4:$W$4,0))))</f>
        <v>363.98985181758314</v>
      </c>
      <c r="AJ156">
        <f ca="1">IF($C156-AJ$1&lt;År1,0,AI155*(1-VLOOKUP($A156,[1]Hugst!$R$5:$W$9,MATCH(ROUNDUP((AJ$1)/10,0)*10,[1]Hugst!$R$4:$W$4,0))))</f>
        <v>363.87089395603351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70.681612143180047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70.522430295208849</v>
      </c>
      <c r="G158">
        <f ca="1">IF($C158-G$1&lt;År1,0,F157*(1-VLOOKUP($A158,[1]Hugst!$R$5:$W$9,MATCH(ROUNDUP((G$1)/10,0)*10,[1]Hugst!$R$4:$W$4,0))))</f>
        <v>70.681612143180047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70.364044356477635</v>
      </c>
      <c r="G159">
        <f ca="1">IF($C159-G$1&lt;År1,0,F158*(1-VLOOKUP($A159,[1]Hugst!$R$5:$W$9,MATCH(ROUNDUP((G$1)/10,0)*10,[1]Hugst!$R$4:$W$4,0))))</f>
        <v>70.522430295208849</v>
      </c>
      <c r="H159">
        <f ca="1">IF($C159-H$1&lt;År1,0,G158*(1-VLOOKUP($A159,[1]Hugst!$R$5:$W$9,MATCH(ROUNDUP((H$1)/10,0)*10,[1]Hugst!$R$4:$W$4,0))))</f>
        <v>70.681612143180047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70.206450347439187</v>
      </c>
      <c r="G160">
        <f ca="1">IF($C160-G$1&lt;År1,0,F159*(1-VLOOKUP($A160,[1]Hugst!$R$5:$W$9,MATCH(ROUNDUP((G$1)/10,0)*10,[1]Hugst!$R$4:$W$4,0))))</f>
        <v>70.364044356477635</v>
      </c>
      <c r="H160">
        <f ca="1">IF($C160-H$1&lt;År1,0,G159*(1-VLOOKUP($A160,[1]Hugst!$R$5:$W$9,MATCH(ROUNDUP((H$1)/10,0)*10,[1]Hugst!$R$4:$W$4,0))))</f>
        <v>70.522430295208849</v>
      </c>
      <c r="I160">
        <f ca="1">IF($C160-I$1&lt;År1,0,H159*(1-VLOOKUP($A160,[1]Hugst!$R$5:$W$9,MATCH(ROUNDUP((I$1)/10,0)*10,[1]Hugst!$R$4:$W$4,0))))</f>
        <v>70.681612143180047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70.049644308447569</v>
      </c>
      <c r="G161">
        <f ca="1">IF($C161-G$1&lt;År1,0,F160*(1-VLOOKUP($A161,[1]Hugst!$R$5:$W$9,MATCH(ROUNDUP((G$1)/10,0)*10,[1]Hugst!$R$4:$W$4,0))))</f>
        <v>70.206450347439187</v>
      </c>
      <c r="H161">
        <f ca="1">IF($C161-H$1&lt;År1,0,G160*(1-VLOOKUP($A161,[1]Hugst!$R$5:$W$9,MATCH(ROUNDUP((H$1)/10,0)*10,[1]Hugst!$R$4:$W$4,0))))</f>
        <v>70.364044356477635</v>
      </c>
      <c r="I161">
        <f ca="1">IF($C161-I$1&lt;År1,0,H160*(1-VLOOKUP($A161,[1]Hugst!$R$5:$W$9,MATCH(ROUNDUP((I$1)/10,0)*10,[1]Hugst!$R$4:$W$4,0))))</f>
        <v>70.522430295208849</v>
      </c>
      <c r="J161">
        <f ca="1">IF($C161-J$1&lt;År1,0,I160*(1-VLOOKUP($A161,[1]Hugst!$R$5:$W$9,MATCH(ROUNDUP((J$1)/10,0)*10,[1]Hugst!$R$4:$W$4,0))))</f>
        <v>70.681612143180047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69.893622299649508</v>
      </c>
      <c r="G162">
        <f ca="1">IF($C162-G$1&lt;År1,0,F161*(1-VLOOKUP($A162,[1]Hugst!$R$5:$W$9,MATCH(ROUNDUP((G$1)/10,0)*10,[1]Hugst!$R$4:$W$4,0))))</f>
        <v>70.049644308447569</v>
      </c>
      <c r="H162">
        <f ca="1">IF($C162-H$1&lt;År1,0,G161*(1-VLOOKUP($A162,[1]Hugst!$R$5:$W$9,MATCH(ROUNDUP((H$1)/10,0)*10,[1]Hugst!$R$4:$W$4,0))))</f>
        <v>70.206450347439187</v>
      </c>
      <c r="I162">
        <f ca="1">IF($C162-I$1&lt;År1,0,H161*(1-VLOOKUP($A162,[1]Hugst!$R$5:$W$9,MATCH(ROUNDUP((I$1)/10,0)*10,[1]Hugst!$R$4:$W$4,0))))</f>
        <v>70.364044356477635</v>
      </c>
      <c r="J162">
        <f ca="1">IF($C162-J$1&lt;År1,0,I161*(1-VLOOKUP($A162,[1]Hugst!$R$5:$W$9,MATCH(ROUNDUP((J$1)/10,0)*10,[1]Hugst!$R$4:$W$4,0))))</f>
        <v>70.522430295208849</v>
      </c>
      <c r="K162">
        <f ca="1">IF($C162-K$1&lt;År1,0,J161*(1-VLOOKUP($A162,[1]Hugst!$R$5:$W$9,MATCH(ROUNDUP((K$1)/10,0)*10,[1]Hugst!$R$4:$W$4,0))))</f>
        <v>70.681612143180047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69.73838040089737</v>
      </c>
      <c r="G163">
        <f ca="1">IF($C163-G$1&lt;År1,0,F162*(1-VLOOKUP($A163,[1]Hugst!$R$5:$W$9,MATCH(ROUNDUP((G$1)/10,0)*10,[1]Hugst!$R$4:$W$4,0))))</f>
        <v>69.893622299649508</v>
      </c>
      <c r="H163">
        <f ca="1">IF($C163-H$1&lt;År1,0,G162*(1-VLOOKUP($A163,[1]Hugst!$R$5:$W$9,MATCH(ROUNDUP((H$1)/10,0)*10,[1]Hugst!$R$4:$W$4,0))))</f>
        <v>70.049644308447569</v>
      </c>
      <c r="I163">
        <f ca="1">IF($C163-I$1&lt;År1,0,H162*(1-VLOOKUP($A163,[1]Hugst!$R$5:$W$9,MATCH(ROUNDUP((I$1)/10,0)*10,[1]Hugst!$R$4:$W$4,0))))</f>
        <v>70.206450347439187</v>
      </c>
      <c r="J163">
        <f ca="1">IF($C163-J$1&lt;År1,0,I162*(1-VLOOKUP($A163,[1]Hugst!$R$5:$W$9,MATCH(ROUNDUP((J$1)/10,0)*10,[1]Hugst!$R$4:$W$4,0))))</f>
        <v>70.364044356477635</v>
      </c>
      <c r="K163">
        <f ca="1">IF($C163-K$1&lt;År1,0,J162*(1-VLOOKUP($A163,[1]Hugst!$R$5:$W$9,MATCH(ROUNDUP((K$1)/10,0)*10,[1]Hugst!$R$4:$W$4,0))))</f>
        <v>70.522430295208849</v>
      </c>
      <c r="L163">
        <f ca="1">IF($C163-L$1&lt;År1,0,K162*(1-VLOOKUP($A163,[1]Hugst!$R$5:$W$9,MATCH(ROUNDUP((L$1)/10,0)*10,[1]Hugst!$R$4:$W$4,0))))</f>
        <v>70.681612143180047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69.583914711636112</v>
      </c>
      <c r="G164">
        <f ca="1">IF($C164-G$1&lt;År1,0,F163*(1-VLOOKUP($A164,[1]Hugst!$R$5:$W$9,MATCH(ROUNDUP((G$1)/10,0)*10,[1]Hugst!$R$4:$W$4,0))))</f>
        <v>69.73838040089737</v>
      </c>
      <c r="H164">
        <f ca="1">IF($C164-H$1&lt;År1,0,G163*(1-VLOOKUP($A164,[1]Hugst!$R$5:$W$9,MATCH(ROUNDUP((H$1)/10,0)*10,[1]Hugst!$R$4:$W$4,0))))</f>
        <v>69.893622299649508</v>
      </c>
      <c r="I164">
        <f ca="1">IF($C164-I$1&lt;År1,0,H163*(1-VLOOKUP($A164,[1]Hugst!$R$5:$W$9,MATCH(ROUNDUP((I$1)/10,0)*10,[1]Hugst!$R$4:$W$4,0))))</f>
        <v>70.049644308447569</v>
      </c>
      <c r="J164">
        <f ca="1">IF($C164-J$1&lt;År1,0,I163*(1-VLOOKUP($A164,[1]Hugst!$R$5:$W$9,MATCH(ROUNDUP((J$1)/10,0)*10,[1]Hugst!$R$4:$W$4,0))))</f>
        <v>70.206450347439187</v>
      </c>
      <c r="K164">
        <f ca="1">IF($C164-K$1&lt;År1,0,J163*(1-VLOOKUP($A164,[1]Hugst!$R$5:$W$9,MATCH(ROUNDUP((K$1)/10,0)*10,[1]Hugst!$R$4:$W$4,0))))</f>
        <v>70.364044356477635</v>
      </c>
      <c r="L164">
        <f ca="1">IF($C164-L$1&lt;År1,0,K163*(1-VLOOKUP($A164,[1]Hugst!$R$5:$W$9,MATCH(ROUNDUP((L$1)/10,0)*10,[1]Hugst!$R$4:$W$4,0))))</f>
        <v>70.522430295208849</v>
      </c>
      <c r="M164">
        <f ca="1">IF($C164-M$1&lt;År1,0,L163*(1-VLOOKUP($A164,[1]Hugst!$R$5:$W$9,MATCH(ROUNDUP((M$1)/10,0)*10,[1]Hugst!$R$4:$W$4,0))))</f>
        <v>70.681612143180047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69.430221350823388</v>
      </c>
      <c r="G165">
        <f ca="1">IF($C165-G$1&lt;År1,0,F164*(1-VLOOKUP($A165,[1]Hugst!$R$5:$W$9,MATCH(ROUNDUP((G$1)/10,0)*10,[1]Hugst!$R$4:$W$4,0))))</f>
        <v>69.583914711636112</v>
      </c>
      <c r="H165">
        <f ca="1">IF($C165-H$1&lt;År1,0,G164*(1-VLOOKUP($A165,[1]Hugst!$R$5:$W$9,MATCH(ROUNDUP((H$1)/10,0)*10,[1]Hugst!$R$4:$W$4,0))))</f>
        <v>69.73838040089737</v>
      </c>
      <c r="I165">
        <f ca="1">IF($C165-I$1&lt;År1,0,H164*(1-VLOOKUP($A165,[1]Hugst!$R$5:$W$9,MATCH(ROUNDUP((I$1)/10,0)*10,[1]Hugst!$R$4:$W$4,0))))</f>
        <v>69.893622299649508</v>
      </c>
      <c r="J165">
        <f ca="1">IF($C165-J$1&lt;År1,0,I164*(1-VLOOKUP($A165,[1]Hugst!$R$5:$W$9,MATCH(ROUNDUP((J$1)/10,0)*10,[1]Hugst!$R$4:$W$4,0))))</f>
        <v>70.049644308447569</v>
      </c>
      <c r="K165">
        <f ca="1">IF($C165-K$1&lt;År1,0,J164*(1-VLOOKUP($A165,[1]Hugst!$R$5:$W$9,MATCH(ROUNDUP((K$1)/10,0)*10,[1]Hugst!$R$4:$W$4,0))))</f>
        <v>70.206450347439187</v>
      </c>
      <c r="L165">
        <f ca="1">IF($C165-L$1&lt;År1,0,K164*(1-VLOOKUP($A165,[1]Hugst!$R$5:$W$9,MATCH(ROUNDUP((L$1)/10,0)*10,[1]Hugst!$R$4:$W$4,0))))</f>
        <v>70.364044356477635</v>
      </c>
      <c r="M165">
        <f ca="1">IF($C165-M$1&lt;År1,0,L164*(1-VLOOKUP($A165,[1]Hugst!$R$5:$W$9,MATCH(ROUNDUP((M$1)/10,0)*10,[1]Hugst!$R$4:$W$4,0))))</f>
        <v>70.522430295208849</v>
      </c>
      <c r="N165">
        <f ca="1">IF($C165-N$1&lt;År1,0,M164*(1-VLOOKUP($A165,[1]Hugst!$R$5:$W$9,MATCH(ROUNDUP((N$1)/10,0)*10,[1]Hugst!$R$4:$W$4,0))))</f>
        <v>70.681612143180047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69.277296456813701</v>
      </c>
      <c r="G166">
        <f ca="1">IF($C166-G$1&lt;År1,0,F165*(1-VLOOKUP($A166,[1]Hugst!$R$5:$W$9,MATCH(ROUNDUP((G$1)/10,0)*10,[1]Hugst!$R$4:$W$4,0))))</f>
        <v>69.430221350823388</v>
      </c>
      <c r="H166">
        <f ca="1">IF($C166-H$1&lt;År1,0,G165*(1-VLOOKUP($A166,[1]Hugst!$R$5:$W$9,MATCH(ROUNDUP((H$1)/10,0)*10,[1]Hugst!$R$4:$W$4,0))))</f>
        <v>69.583914711636112</v>
      </c>
      <c r="I166">
        <f ca="1">IF($C166-I$1&lt;År1,0,H165*(1-VLOOKUP($A166,[1]Hugst!$R$5:$W$9,MATCH(ROUNDUP((I$1)/10,0)*10,[1]Hugst!$R$4:$W$4,0))))</f>
        <v>69.73838040089737</v>
      </c>
      <c r="J166">
        <f ca="1">IF($C166-J$1&lt;År1,0,I165*(1-VLOOKUP($A166,[1]Hugst!$R$5:$W$9,MATCH(ROUNDUP((J$1)/10,0)*10,[1]Hugst!$R$4:$W$4,0))))</f>
        <v>69.893622299649508</v>
      </c>
      <c r="K166">
        <f ca="1">IF($C166-K$1&lt;År1,0,J165*(1-VLOOKUP($A166,[1]Hugst!$R$5:$W$9,MATCH(ROUNDUP((K$1)/10,0)*10,[1]Hugst!$R$4:$W$4,0))))</f>
        <v>70.049644308447569</v>
      </c>
      <c r="L166">
        <f ca="1">IF($C166-L$1&lt;År1,0,K165*(1-VLOOKUP($A166,[1]Hugst!$R$5:$W$9,MATCH(ROUNDUP((L$1)/10,0)*10,[1]Hugst!$R$4:$W$4,0))))</f>
        <v>70.206450347439187</v>
      </c>
      <c r="M166">
        <f ca="1">IF($C166-M$1&lt;År1,0,L165*(1-VLOOKUP($A166,[1]Hugst!$R$5:$W$9,MATCH(ROUNDUP((M$1)/10,0)*10,[1]Hugst!$R$4:$W$4,0))))</f>
        <v>70.364044356477635</v>
      </c>
      <c r="N166">
        <f ca="1">IF($C166-N$1&lt;År1,0,M165*(1-VLOOKUP($A166,[1]Hugst!$R$5:$W$9,MATCH(ROUNDUP((N$1)/10,0)*10,[1]Hugst!$R$4:$W$4,0))))</f>
        <v>70.522430295208849</v>
      </c>
      <c r="O166">
        <f ca="1">IF($C166-O$1&lt;År1,0,N165*(1-VLOOKUP($A166,[1]Hugst!$R$5:$W$9,MATCH(ROUNDUP((O$1)/10,0)*10,[1]Hugst!$R$4:$W$4,0))))</f>
        <v>70.681612143180047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69.125136187275132</v>
      </c>
      <c r="G167">
        <f ca="1">IF($C167-G$1&lt;År1,0,F166*(1-VLOOKUP($A167,[1]Hugst!$R$5:$W$9,MATCH(ROUNDUP((G$1)/10,0)*10,[1]Hugst!$R$4:$W$4,0))))</f>
        <v>69.277296456813701</v>
      </c>
      <c r="H167">
        <f ca="1">IF($C167-H$1&lt;År1,0,G166*(1-VLOOKUP($A167,[1]Hugst!$R$5:$W$9,MATCH(ROUNDUP((H$1)/10,0)*10,[1]Hugst!$R$4:$W$4,0))))</f>
        <v>69.430221350823388</v>
      </c>
      <c r="I167">
        <f ca="1">IF($C167-I$1&lt;År1,0,H166*(1-VLOOKUP($A167,[1]Hugst!$R$5:$W$9,MATCH(ROUNDUP((I$1)/10,0)*10,[1]Hugst!$R$4:$W$4,0))))</f>
        <v>69.583914711636112</v>
      </c>
      <c r="J167">
        <f ca="1">IF($C167-J$1&lt;År1,0,I166*(1-VLOOKUP($A167,[1]Hugst!$R$5:$W$9,MATCH(ROUNDUP((J$1)/10,0)*10,[1]Hugst!$R$4:$W$4,0))))</f>
        <v>69.73838040089737</v>
      </c>
      <c r="K167">
        <f ca="1">IF($C167-K$1&lt;År1,0,J166*(1-VLOOKUP($A167,[1]Hugst!$R$5:$W$9,MATCH(ROUNDUP((K$1)/10,0)*10,[1]Hugst!$R$4:$W$4,0))))</f>
        <v>69.893622299649508</v>
      </c>
      <c r="L167">
        <f ca="1">IF($C167-L$1&lt;År1,0,K166*(1-VLOOKUP($A167,[1]Hugst!$R$5:$W$9,MATCH(ROUNDUP((L$1)/10,0)*10,[1]Hugst!$R$4:$W$4,0))))</f>
        <v>70.049644308447569</v>
      </c>
      <c r="M167">
        <f ca="1">IF($C167-M$1&lt;År1,0,L166*(1-VLOOKUP($A167,[1]Hugst!$R$5:$W$9,MATCH(ROUNDUP((M$1)/10,0)*10,[1]Hugst!$R$4:$W$4,0))))</f>
        <v>70.206450347439187</v>
      </c>
      <c r="N167">
        <f ca="1">IF($C167-N$1&lt;År1,0,M166*(1-VLOOKUP($A167,[1]Hugst!$R$5:$W$9,MATCH(ROUNDUP((N$1)/10,0)*10,[1]Hugst!$R$4:$W$4,0))))</f>
        <v>70.364044356477635</v>
      </c>
      <c r="O167">
        <f ca="1">IF($C167-O$1&lt;År1,0,N166*(1-VLOOKUP($A167,[1]Hugst!$R$5:$W$9,MATCH(ROUNDUP((O$1)/10,0)*10,[1]Hugst!$R$4:$W$4,0))))</f>
        <v>70.522430295208849</v>
      </c>
      <c r="P167">
        <f ca="1">IF($C167-P$1&lt;År1,0,O166*(1-VLOOKUP($A167,[1]Hugst!$R$5:$W$9,MATCH(ROUNDUP((P$1)/10,0)*10,[1]Hugst!$R$4:$W$4,0))))</f>
        <v>70.681612143180047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91.171018175622692</v>
      </c>
      <c r="G168">
        <f ca="1">IF($C168-G$1&lt;År1,0,F167*(1-VLOOKUP($A168,[1]Hugst!$R$5:$W$9,MATCH(ROUNDUP((G$1)/10,0)*10,[1]Hugst!$R$4:$W$4,0))))</f>
        <v>69.125136187275132</v>
      </c>
      <c r="H168">
        <f ca="1">IF($C168-H$1&lt;År1,0,G167*(1-VLOOKUP($A168,[1]Hugst!$R$5:$W$9,MATCH(ROUNDUP((H$1)/10,0)*10,[1]Hugst!$R$4:$W$4,0))))</f>
        <v>69.277296456813701</v>
      </c>
      <c r="I168">
        <f ca="1">IF($C168-I$1&lt;År1,0,H167*(1-VLOOKUP($A168,[1]Hugst!$R$5:$W$9,MATCH(ROUNDUP((I$1)/10,0)*10,[1]Hugst!$R$4:$W$4,0))))</f>
        <v>69.430221350823388</v>
      </c>
      <c r="J168">
        <f ca="1">IF($C168-J$1&lt;År1,0,I167*(1-VLOOKUP($A168,[1]Hugst!$R$5:$W$9,MATCH(ROUNDUP((J$1)/10,0)*10,[1]Hugst!$R$4:$W$4,0))))</f>
        <v>69.583914711636112</v>
      </c>
      <c r="K168">
        <f ca="1">IF($C168-K$1&lt;År1,0,J167*(1-VLOOKUP($A168,[1]Hugst!$R$5:$W$9,MATCH(ROUNDUP((K$1)/10,0)*10,[1]Hugst!$R$4:$W$4,0))))</f>
        <v>69.73838040089737</v>
      </c>
      <c r="L168">
        <f ca="1">IF($C168-L$1&lt;År1,0,K167*(1-VLOOKUP($A168,[1]Hugst!$R$5:$W$9,MATCH(ROUNDUP((L$1)/10,0)*10,[1]Hugst!$R$4:$W$4,0))))</f>
        <v>69.893622299649508</v>
      </c>
      <c r="M168">
        <f ca="1">IF($C168-M$1&lt;År1,0,L167*(1-VLOOKUP($A168,[1]Hugst!$R$5:$W$9,MATCH(ROUNDUP((M$1)/10,0)*10,[1]Hugst!$R$4:$W$4,0))))</f>
        <v>70.049644308447569</v>
      </c>
      <c r="N168">
        <f ca="1">IF($C168-N$1&lt;År1,0,M167*(1-VLOOKUP($A168,[1]Hugst!$R$5:$W$9,MATCH(ROUNDUP((N$1)/10,0)*10,[1]Hugst!$R$4:$W$4,0))))</f>
        <v>70.206450347439187</v>
      </c>
      <c r="O168">
        <f ca="1">IF($C168-O$1&lt;År1,0,N167*(1-VLOOKUP($A168,[1]Hugst!$R$5:$W$9,MATCH(ROUNDUP((O$1)/10,0)*10,[1]Hugst!$R$4:$W$4,0))))</f>
        <v>70.364044356477635</v>
      </c>
      <c r="P168">
        <f ca="1">IF($C168-P$1&lt;År1,0,O167*(1-VLOOKUP($A168,[1]Hugst!$R$5:$W$9,MATCH(ROUNDUP((P$1)/10,0)*10,[1]Hugst!$R$4:$W$4,0))))</f>
        <v>70.522430295208849</v>
      </c>
      <c r="Q168">
        <f ca="1">IF($C168-Q$1&lt;År1,0,P167*(1-VLOOKUP($A168,[1]Hugst!$R$5:$W$9,MATCH(ROUNDUP((Q$1)/10,0)*10,[1]Hugst!$R$4:$W$4,0))))</f>
        <v>70.681612143180047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91.02037570477313</v>
      </c>
      <c r="G169">
        <f ca="1">IF($C169-G$1&lt;År1,0,F168*(1-VLOOKUP($A169,[1]Hugst!$R$5:$W$9,MATCH(ROUNDUP((G$1)/10,0)*10,[1]Hugst!$R$4:$W$4,0))))</f>
        <v>91.171018175622692</v>
      </c>
      <c r="H169">
        <f ca="1">IF($C169-H$1&lt;År1,0,G168*(1-VLOOKUP($A169,[1]Hugst!$R$5:$W$9,MATCH(ROUNDUP((H$1)/10,0)*10,[1]Hugst!$R$4:$W$4,0))))</f>
        <v>69.125136187275132</v>
      </c>
      <c r="I169">
        <f ca="1">IF($C169-I$1&lt;År1,0,H168*(1-VLOOKUP($A169,[1]Hugst!$R$5:$W$9,MATCH(ROUNDUP((I$1)/10,0)*10,[1]Hugst!$R$4:$W$4,0))))</f>
        <v>69.277296456813701</v>
      </c>
      <c r="J169">
        <f ca="1">IF($C169-J$1&lt;År1,0,I168*(1-VLOOKUP($A169,[1]Hugst!$R$5:$W$9,MATCH(ROUNDUP((J$1)/10,0)*10,[1]Hugst!$R$4:$W$4,0))))</f>
        <v>69.430221350823388</v>
      </c>
      <c r="K169">
        <f ca="1">IF($C169-K$1&lt;År1,0,J168*(1-VLOOKUP($A169,[1]Hugst!$R$5:$W$9,MATCH(ROUNDUP((K$1)/10,0)*10,[1]Hugst!$R$4:$W$4,0))))</f>
        <v>69.583914711636112</v>
      </c>
      <c r="L169">
        <f ca="1">IF($C169-L$1&lt;År1,0,K168*(1-VLOOKUP($A169,[1]Hugst!$R$5:$W$9,MATCH(ROUNDUP((L$1)/10,0)*10,[1]Hugst!$R$4:$W$4,0))))</f>
        <v>69.73838040089737</v>
      </c>
      <c r="M169">
        <f ca="1">IF($C169-M$1&lt;År1,0,L168*(1-VLOOKUP($A169,[1]Hugst!$R$5:$W$9,MATCH(ROUNDUP((M$1)/10,0)*10,[1]Hugst!$R$4:$W$4,0))))</f>
        <v>69.893622299649508</v>
      </c>
      <c r="N169">
        <f ca="1">IF($C169-N$1&lt;År1,0,M168*(1-VLOOKUP($A169,[1]Hugst!$R$5:$W$9,MATCH(ROUNDUP((N$1)/10,0)*10,[1]Hugst!$R$4:$W$4,0))))</f>
        <v>70.049644308447569</v>
      </c>
      <c r="O169">
        <f ca="1">IF($C169-O$1&lt;År1,0,N168*(1-VLOOKUP($A169,[1]Hugst!$R$5:$W$9,MATCH(ROUNDUP((O$1)/10,0)*10,[1]Hugst!$R$4:$W$4,0))))</f>
        <v>70.206450347439187</v>
      </c>
      <c r="P169">
        <f ca="1">IF($C169-P$1&lt;År1,0,O168*(1-VLOOKUP($A169,[1]Hugst!$R$5:$W$9,MATCH(ROUNDUP((P$1)/10,0)*10,[1]Hugst!$R$4:$W$4,0))))</f>
        <v>70.364044356477635</v>
      </c>
      <c r="Q169">
        <f ca="1">IF($C169-Q$1&lt;År1,0,P168*(1-VLOOKUP($A169,[1]Hugst!$R$5:$W$9,MATCH(ROUNDUP((Q$1)/10,0)*10,[1]Hugst!$R$4:$W$4,0))))</f>
        <v>70.522430295208849</v>
      </c>
      <c r="R169">
        <f ca="1">IF($C169-R$1&lt;År1,0,Q168*(1-VLOOKUP($A169,[1]Hugst!$R$5:$W$9,MATCH(ROUNDUP((R$1)/10,0)*10,[1]Hugst!$R$4:$W$4,0))))</f>
        <v>70.681612143180047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90.870486446276232</v>
      </c>
      <c r="G170">
        <f ca="1">IF($C170-G$1&lt;År1,0,F169*(1-VLOOKUP($A170,[1]Hugst!$R$5:$W$9,MATCH(ROUNDUP((G$1)/10,0)*10,[1]Hugst!$R$4:$W$4,0))))</f>
        <v>91.02037570477313</v>
      </c>
      <c r="H170">
        <f ca="1">IF($C170-H$1&lt;År1,0,G169*(1-VLOOKUP($A170,[1]Hugst!$R$5:$W$9,MATCH(ROUNDUP((H$1)/10,0)*10,[1]Hugst!$R$4:$W$4,0))))</f>
        <v>91.171018175622692</v>
      </c>
      <c r="I170">
        <f ca="1">IF($C170-I$1&lt;År1,0,H169*(1-VLOOKUP($A170,[1]Hugst!$R$5:$W$9,MATCH(ROUNDUP((I$1)/10,0)*10,[1]Hugst!$R$4:$W$4,0))))</f>
        <v>69.125136187275132</v>
      </c>
      <c r="J170">
        <f ca="1">IF($C170-J$1&lt;År1,0,I169*(1-VLOOKUP($A170,[1]Hugst!$R$5:$W$9,MATCH(ROUNDUP((J$1)/10,0)*10,[1]Hugst!$R$4:$W$4,0))))</f>
        <v>69.277296456813701</v>
      </c>
      <c r="K170">
        <f ca="1">IF($C170-K$1&lt;År1,0,J169*(1-VLOOKUP($A170,[1]Hugst!$R$5:$W$9,MATCH(ROUNDUP((K$1)/10,0)*10,[1]Hugst!$R$4:$W$4,0))))</f>
        <v>69.430221350823388</v>
      </c>
      <c r="L170">
        <f ca="1">IF($C170-L$1&lt;År1,0,K169*(1-VLOOKUP($A170,[1]Hugst!$R$5:$W$9,MATCH(ROUNDUP((L$1)/10,0)*10,[1]Hugst!$R$4:$W$4,0))))</f>
        <v>69.583914711636112</v>
      </c>
      <c r="M170">
        <f ca="1">IF($C170-M$1&lt;År1,0,L169*(1-VLOOKUP($A170,[1]Hugst!$R$5:$W$9,MATCH(ROUNDUP((M$1)/10,0)*10,[1]Hugst!$R$4:$W$4,0))))</f>
        <v>69.73838040089737</v>
      </c>
      <c r="N170">
        <f ca="1">IF($C170-N$1&lt;År1,0,M169*(1-VLOOKUP($A170,[1]Hugst!$R$5:$W$9,MATCH(ROUNDUP((N$1)/10,0)*10,[1]Hugst!$R$4:$W$4,0))))</f>
        <v>69.893622299649508</v>
      </c>
      <c r="O170">
        <f ca="1">IF($C170-O$1&lt;År1,0,N169*(1-VLOOKUP($A170,[1]Hugst!$R$5:$W$9,MATCH(ROUNDUP((O$1)/10,0)*10,[1]Hugst!$R$4:$W$4,0))))</f>
        <v>70.049644308447569</v>
      </c>
      <c r="P170">
        <f ca="1">IF($C170-P$1&lt;År1,0,O169*(1-VLOOKUP($A170,[1]Hugst!$R$5:$W$9,MATCH(ROUNDUP((P$1)/10,0)*10,[1]Hugst!$R$4:$W$4,0))))</f>
        <v>70.206450347439187</v>
      </c>
      <c r="Q170">
        <f ca="1">IF($C170-Q$1&lt;År1,0,P169*(1-VLOOKUP($A170,[1]Hugst!$R$5:$W$9,MATCH(ROUNDUP((Q$1)/10,0)*10,[1]Hugst!$R$4:$W$4,0))))</f>
        <v>70.364044356477635</v>
      </c>
      <c r="R170">
        <f ca="1">IF($C170-R$1&lt;År1,0,Q169*(1-VLOOKUP($A170,[1]Hugst!$R$5:$W$9,MATCH(ROUNDUP((R$1)/10,0)*10,[1]Hugst!$R$4:$W$4,0))))</f>
        <v>70.522430295208849</v>
      </c>
      <c r="S170">
        <f ca="1">IF($C170-S$1&lt;År1,0,R169*(1-VLOOKUP($A170,[1]Hugst!$R$5:$W$9,MATCH(ROUNDUP((S$1)/10,0)*10,[1]Hugst!$R$4:$W$4,0))))</f>
        <v>70.681612143180047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90.721346634072461</v>
      </c>
      <c r="G171">
        <f ca="1">IF($C171-G$1&lt;År1,0,F170*(1-VLOOKUP($A171,[1]Hugst!$R$5:$W$9,MATCH(ROUNDUP((G$1)/10,0)*10,[1]Hugst!$R$4:$W$4,0))))</f>
        <v>90.870486446276232</v>
      </c>
      <c r="H171">
        <f ca="1">IF($C171-H$1&lt;År1,0,G170*(1-VLOOKUP($A171,[1]Hugst!$R$5:$W$9,MATCH(ROUNDUP((H$1)/10,0)*10,[1]Hugst!$R$4:$W$4,0))))</f>
        <v>91.02037570477313</v>
      </c>
      <c r="I171">
        <f ca="1">IF($C171-I$1&lt;År1,0,H170*(1-VLOOKUP($A171,[1]Hugst!$R$5:$W$9,MATCH(ROUNDUP((I$1)/10,0)*10,[1]Hugst!$R$4:$W$4,0))))</f>
        <v>91.171018175622692</v>
      </c>
      <c r="J171">
        <f ca="1">IF($C171-J$1&lt;År1,0,I170*(1-VLOOKUP($A171,[1]Hugst!$R$5:$W$9,MATCH(ROUNDUP((J$1)/10,0)*10,[1]Hugst!$R$4:$W$4,0))))</f>
        <v>69.125136187275132</v>
      </c>
      <c r="K171">
        <f ca="1">IF($C171-K$1&lt;År1,0,J170*(1-VLOOKUP($A171,[1]Hugst!$R$5:$W$9,MATCH(ROUNDUP((K$1)/10,0)*10,[1]Hugst!$R$4:$W$4,0))))</f>
        <v>69.277296456813701</v>
      </c>
      <c r="L171">
        <f ca="1">IF($C171-L$1&lt;År1,0,K170*(1-VLOOKUP($A171,[1]Hugst!$R$5:$W$9,MATCH(ROUNDUP((L$1)/10,0)*10,[1]Hugst!$R$4:$W$4,0))))</f>
        <v>69.430221350823388</v>
      </c>
      <c r="M171">
        <f ca="1">IF($C171-M$1&lt;År1,0,L170*(1-VLOOKUP($A171,[1]Hugst!$R$5:$W$9,MATCH(ROUNDUP((M$1)/10,0)*10,[1]Hugst!$R$4:$W$4,0))))</f>
        <v>69.583914711636112</v>
      </c>
      <c r="N171">
        <f ca="1">IF($C171-N$1&lt;År1,0,M170*(1-VLOOKUP($A171,[1]Hugst!$R$5:$W$9,MATCH(ROUNDUP((N$1)/10,0)*10,[1]Hugst!$R$4:$W$4,0))))</f>
        <v>69.73838040089737</v>
      </c>
      <c r="O171">
        <f ca="1">IF($C171-O$1&lt;År1,0,N170*(1-VLOOKUP($A171,[1]Hugst!$R$5:$W$9,MATCH(ROUNDUP((O$1)/10,0)*10,[1]Hugst!$R$4:$W$4,0))))</f>
        <v>69.893622299649508</v>
      </c>
      <c r="P171">
        <f ca="1">IF($C171-P$1&lt;År1,0,O170*(1-VLOOKUP($A171,[1]Hugst!$R$5:$W$9,MATCH(ROUNDUP((P$1)/10,0)*10,[1]Hugst!$R$4:$W$4,0))))</f>
        <v>70.049644308447569</v>
      </c>
      <c r="Q171">
        <f ca="1">IF($C171-Q$1&lt;År1,0,P170*(1-VLOOKUP($A171,[1]Hugst!$R$5:$W$9,MATCH(ROUNDUP((Q$1)/10,0)*10,[1]Hugst!$R$4:$W$4,0))))</f>
        <v>70.206450347439187</v>
      </c>
      <c r="R171">
        <f ca="1">IF($C171-R$1&lt;År1,0,Q170*(1-VLOOKUP($A171,[1]Hugst!$R$5:$W$9,MATCH(ROUNDUP((R$1)/10,0)*10,[1]Hugst!$R$4:$W$4,0))))</f>
        <v>70.364044356477635</v>
      </c>
      <c r="S171">
        <f ca="1">IF($C171-S$1&lt;År1,0,R170*(1-VLOOKUP($A171,[1]Hugst!$R$5:$W$9,MATCH(ROUNDUP((S$1)/10,0)*10,[1]Hugst!$R$4:$W$4,0))))</f>
        <v>70.522430295208849</v>
      </c>
      <c r="T171">
        <f ca="1">IF($C171-T$1&lt;År1,0,S170*(1-VLOOKUP($A171,[1]Hugst!$R$5:$W$9,MATCH(ROUNDUP((T$1)/10,0)*10,[1]Hugst!$R$4:$W$4,0))))</f>
        <v>70.681612143180047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90.572952520930073</v>
      </c>
      <c r="G172">
        <f ca="1">IF($C172-G$1&lt;År1,0,F171*(1-VLOOKUP($A172,[1]Hugst!$R$5:$W$9,MATCH(ROUNDUP((G$1)/10,0)*10,[1]Hugst!$R$4:$W$4,0))))</f>
        <v>90.721346634072461</v>
      </c>
      <c r="H172">
        <f ca="1">IF($C172-H$1&lt;År1,0,G171*(1-VLOOKUP($A172,[1]Hugst!$R$5:$W$9,MATCH(ROUNDUP((H$1)/10,0)*10,[1]Hugst!$R$4:$W$4,0))))</f>
        <v>90.870486446276232</v>
      </c>
      <c r="I172">
        <f ca="1">IF($C172-I$1&lt;År1,0,H171*(1-VLOOKUP($A172,[1]Hugst!$R$5:$W$9,MATCH(ROUNDUP((I$1)/10,0)*10,[1]Hugst!$R$4:$W$4,0))))</f>
        <v>91.02037570477313</v>
      </c>
      <c r="J172">
        <f ca="1">IF($C172-J$1&lt;År1,0,I171*(1-VLOOKUP($A172,[1]Hugst!$R$5:$W$9,MATCH(ROUNDUP((J$1)/10,0)*10,[1]Hugst!$R$4:$W$4,0))))</f>
        <v>91.171018175622692</v>
      </c>
      <c r="K172">
        <f ca="1">IF($C172-K$1&lt;År1,0,J171*(1-VLOOKUP($A172,[1]Hugst!$R$5:$W$9,MATCH(ROUNDUP((K$1)/10,0)*10,[1]Hugst!$R$4:$W$4,0))))</f>
        <v>69.125136187275132</v>
      </c>
      <c r="L172">
        <f ca="1">IF($C172-L$1&lt;År1,0,K171*(1-VLOOKUP($A172,[1]Hugst!$R$5:$W$9,MATCH(ROUNDUP((L$1)/10,0)*10,[1]Hugst!$R$4:$W$4,0))))</f>
        <v>69.277296456813701</v>
      </c>
      <c r="M172">
        <f ca="1">IF($C172-M$1&lt;År1,0,L171*(1-VLOOKUP($A172,[1]Hugst!$R$5:$W$9,MATCH(ROUNDUP((M$1)/10,0)*10,[1]Hugst!$R$4:$W$4,0))))</f>
        <v>69.430221350823388</v>
      </c>
      <c r="N172">
        <f ca="1">IF($C172-N$1&lt;År1,0,M171*(1-VLOOKUP($A172,[1]Hugst!$R$5:$W$9,MATCH(ROUNDUP((N$1)/10,0)*10,[1]Hugst!$R$4:$W$4,0))))</f>
        <v>69.583914711636112</v>
      </c>
      <c r="O172">
        <f ca="1">IF($C172-O$1&lt;År1,0,N171*(1-VLOOKUP($A172,[1]Hugst!$R$5:$W$9,MATCH(ROUNDUP((O$1)/10,0)*10,[1]Hugst!$R$4:$W$4,0))))</f>
        <v>69.73838040089737</v>
      </c>
      <c r="P172">
        <f ca="1">IF($C172-P$1&lt;År1,0,O171*(1-VLOOKUP($A172,[1]Hugst!$R$5:$W$9,MATCH(ROUNDUP((P$1)/10,0)*10,[1]Hugst!$R$4:$W$4,0))))</f>
        <v>69.893622299649508</v>
      </c>
      <c r="Q172">
        <f ca="1">IF($C172-Q$1&lt;År1,0,P171*(1-VLOOKUP($A172,[1]Hugst!$R$5:$W$9,MATCH(ROUNDUP((Q$1)/10,0)*10,[1]Hugst!$R$4:$W$4,0))))</f>
        <v>70.049644308447569</v>
      </c>
      <c r="R172">
        <f ca="1">IF($C172-R$1&lt;År1,0,Q171*(1-VLOOKUP($A172,[1]Hugst!$R$5:$W$9,MATCH(ROUNDUP((R$1)/10,0)*10,[1]Hugst!$R$4:$W$4,0))))</f>
        <v>70.206450347439187</v>
      </c>
      <c r="S172">
        <f ca="1">IF($C172-S$1&lt;År1,0,R171*(1-VLOOKUP($A172,[1]Hugst!$R$5:$W$9,MATCH(ROUNDUP((S$1)/10,0)*10,[1]Hugst!$R$4:$W$4,0))))</f>
        <v>70.364044356477635</v>
      </c>
      <c r="T172">
        <f ca="1">IF($C172-T$1&lt;År1,0,S171*(1-VLOOKUP($A172,[1]Hugst!$R$5:$W$9,MATCH(ROUNDUP((T$1)/10,0)*10,[1]Hugst!$R$4:$W$4,0))))</f>
        <v>70.522430295208849</v>
      </c>
      <c r="U172">
        <f ca="1">IF($C172-U$1&lt;År1,0,T171*(1-VLOOKUP($A172,[1]Hugst!$R$5:$W$9,MATCH(ROUNDUP((U$1)/10,0)*10,[1]Hugst!$R$4:$W$4,0))))</f>
        <v>70.681612143180047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90.425300378352233</v>
      </c>
      <c r="G173">
        <f ca="1">IF($C173-G$1&lt;År1,0,F172*(1-VLOOKUP($A173,[1]Hugst!$R$5:$W$9,MATCH(ROUNDUP((G$1)/10,0)*10,[1]Hugst!$R$4:$W$4,0))))</f>
        <v>90.572952520930073</v>
      </c>
      <c r="H173">
        <f ca="1">IF($C173-H$1&lt;År1,0,G172*(1-VLOOKUP($A173,[1]Hugst!$R$5:$W$9,MATCH(ROUNDUP((H$1)/10,0)*10,[1]Hugst!$R$4:$W$4,0))))</f>
        <v>90.721346634072461</v>
      </c>
      <c r="I173">
        <f ca="1">IF($C173-I$1&lt;År1,0,H172*(1-VLOOKUP($A173,[1]Hugst!$R$5:$W$9,MATCH(ROUNDUP((I$1)/10,0)*10,[1]Hugst!$R$4:$W$4,0))))</f>
        <v>90.870486446276232</v>
      </c>
      <c r="J173">
        <f ca="1">IF($C173-J$1&lt;År1,0,I172*(1-VLOOKUP($A173,[1]Hugst!$R$5:$W$9,MATCH(ROUNDUP((J$1)/10,0)*10,[1]Hugst!$R$4:$W$4,0))))</f>
        <v>91.02037570477313</v>
      </c>
      <c r="K173">
        <f ca="1">IF($C173-K$1&lt;År1,0,J172*(1-VLOOKUP($A173,[1]Hugst!$R$5:$W$9,MATCH(ROUNDUP((K$1)/10,0)*10,[1]Hugst!$R$4:$W$4,0))))</f>
        <v>91.171018175622692</v>
      </c>
      <c r="L173">
        <f ca="1">IF($C173-L$1&lt;År1,0,K172*(1-VLOOKUP($A173,[1]Hugst!$R$5:$W$9,MATCH(ROUNDUP((L$1)/10,0)*10,[1]Hugst!$R$4:$W$4,0))))</f>
        <v>69.125136187275132</v>
      </c>
      <c r="M173">
        <f ca="1">IF($C173-M$1&lt;År1,0,L172*(1-VLOOKUP($A173,[1]Hugst!$R$5:$W$9,MATCH(ROUNDUP((M$1)/10,0)*10,[1]Hugst!$R$4:$W$4,0))))</f>
        <v>69.277296456813701</v>
      </c>
      <c r="N173">
        <f ca="1">IF($C173-N$1&lt;År1,0,M172*(1-VLOOKUP($A173,[1]Hugst!$R$5:$W$9,MATCH(ROUNDUP((N$1)/10,0)*10,[1]Hugst!$R$4:$W$4,0))))</f>
        <v>69.430221350823388</v>
      </c>
      <c r="O173">
        <f ca="1">IF($C173-O$1&lt;År1,0,N172*(1-VLOOKUP($A173,[1]Hugst!$R$5:$W$9,MATCH(ROUNDUP((O$1)/10,0)*10,[1]Hugst!$R$4:$W$4,0))))</f>
        <v>69.583914711636112</v>
      </c>
      <c r="P173">
        <f ca="1">IF($C173-P$1&lt;År1,0,O172*(1-VLOOKUP($A173,[1]Hugst!$R$5:$W$9,MATCH(ROUNDUP((P$1)/10,0)*10,[1]Hugst!$R$4:$W$4,0))))</f>
        <v>69.73838040089737</v>
      </c>
      <c r="Q173">
        <f ca="1">IF($C173-Q$1&lt;År1,0,P172*(1-VLOOKUP($A173,[1]Hugst!$R$5:$W$9,MATCH(ROUNDUP((Q$1)/10,0)*10,[1]Hugst!$R$4:$W$4,0))))</f>
        <v>69.893622299649508</v>
      </c>
      <c r="R173">
        <f ca="1">IF($C173-R$1&lt;År1,0,Q172*(1-VLOOKUP($A173,[1]Hugst!$R$5:$W$9,MATCH(ROUNDUP((R$1)/10,0)*10,[1]Hugst!$R$4:$W$4,0))))</f>
        <v>70.049644308447569</v>
      </c>
      <c r="S173">
        <f ca="1">IF($C173-S$1&lt;År1,0,R172*(1-VLOOKUP($A173,[1]Hugst!$R$5:$W$9,MATCH(ROUNDUP((S$1)/10,0)*10,[1]Hugst!$R$4:$W$4,0))))</f>
        <v>70.206450347439187</v>
      </c>
      <c r="T173">
        <f ca="1">IF($C173-T$1&lt;År1,0,S172*(1-VLOOKUP($A173,[1]Hugst!$R$5:$W$9,MATCH(ROUNDUP((T$1)/10,0)*10,[1]Hugst!$R$4:$W$4,0))))</f>
        <v>70.364044356477635</v>
      </c>
      <c r="U173">
        <f ca="1">IF($C173-U$1&lt;År1,0,T172*(1-VLOOKUP($A173,[1]Hugst!$R$5:$W$9,MATCH(ROUNDUP((U$1)/10,0)*10,[1]Hugst!$R$4:$W$4,0))))</f>
        <v>70.522430295208849</v>
      </c>
      <c r="V173">
        <f ca="1">IF($C173-V$1&lt;År1,0,U172*(1-VLOOKUP($A173,[1]Hugst!$R$5:$W$9,MATCH(ROUNDUP((V$1)/10,0)*10,[1]Hugst!$R$4:$W$4,0))))</f>
        <v>70.681612143180047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90.278386496488167</v>
      </c>
      <c r="G174">
        <f ca="1">IF($C174-G$1&lt;År1,0,F173*(1-VLOOKUP($A174,[1]Hugst!$R$5:$W$9,MATCH(ROUNDUP((G$1)/10,0)*10,[1]Hugst!$R$4:$W$4,0))))</f>
        <v>90.425300378352233</v>
      </c>
      <c r="H174">
        <f ca="1">IF($C174-H$1&lt;År1,0,G173*(1-VLOOKUP($A174,[1]Hugst!$R$5:$W$9,MATCH(ROUNDUP((H$1)/10,0)*10,[1]Hugst!$R$4:$W$4,0))))</f>
        <v>90.572952520930073</v>
      </c>
      <c r="I174">
        <f ca="1">IF($C174-I$1&lt;År1,0,H173*(1-VLOOKUP($A174,[1]Hugst!$R$5:$W$9,MATCH(ROUNDUP((I$1)/10,0)*10,[1]Hugst!$R$4:$W$4,0))))</f>
        <v>90.721346634072461</v>
      </c>
      <c r="J174">
        <f ca="1">IF($C174-J$1&lt;År1,0,I173*(1-VLOOKUP($A174,[1]Hugst!$R$5:$W$9,MATCH(ROUNDUP((J$1)/10,0)*10,[1]Hugst!$R$4:$W$4,0))))</f>
        <v>90.870486446276232</v>
      </c>
      <c r="K174">
        <f ca="1">IF($C174-K$1&lt;År1,0,J173*(1-VLOOKUP($A174,[1]Hugst!$R$5:$W$9,MATCH(ROUNDUP((K$1)/10,0)*10,[1]Hugst!$R$4:$W$4,0))))</f>
        <v>91.02037570477313</v>
      </c>
      <c r="L174">
        <f ca="1">IF($C174-L$1&lt;År1,0,K173*(1-VLOOKUP($A174,[1]Hugst!$R$5:$W$9,MATCH(ROUNDUP((L$1)/10,0)*10,[1]Hugst!$R$4:$W$4,0))))</f>
        <v>91.171018175622692</v>
      </c>
      <c r="M174">
        <f ca="1">IF($C174-M$1&lt;År1,0,L173*(1-VLOOKUP($A174,[1]Hugst!$R$5:$W$9,MATCH(ROUNDUP((M$1)/10,0)*10,[1]Hugst!$R$4:$W$4,0))))</f>
        <v>69.125136187275132</v>
      </c>
      <c r="N174">
        <f ca="1">IF($C174-N$1&lt;År1,0,M173*(1-VLOOKUP($A174,[1]Hugst!$R$5:$W$9,MATCH(ROUNDUP((N$1)/10,0)*10,[1]Hugst!$R$4:$W$4,0))))</f>
        <v>69.277296456813701</v>
      </c>
      <c r="O174">
        <f ca="1">IF($C174-O$1&lt;År1,0,N173*(1-VLOOKUP($A174,[1]Hugst!$R$5:$W$9,MATCH(ROUNDUP((O$1)/10,0)*10,[1]Hugst!$R$4:$W$4,0))))</f>
        <v>69.430221350823388</v>
      </c>
      <c r="P174">
        <f ca="1">IF($C174-P$1&lt;År1,0,O173*(1-VLOOKUP($A174,[1]Hugst!$R$5:$W$9,MATCH(ROUNDUP((P$1)/10,0)*10,[1]Hugst!$R$4:$W$4,0))))</f>
        <v>69.583914711636112</v>
      </c>
      <c r="Q174">
        <f ca="1">IF($C174-Q$1&lt;År1,0,P173*(1-VLOOKUP($A174,[1]Hugst!$R$5:$W$9,MATCH(ROUNDUP((Q$1)/10,0)*10,[1]Hugst!$R$4:$W$4,0))))</f>
        <v>69.73838040089737</v>
      </c>
      <c r="R174">
        <f ca="1">IF($C174-R$1&lt;År1,0,Q173*(1-VLOOKUP($A174,[1]Hugst!$R$5:$W$9,MATCH(ROUNDUP((R$1)/10,0)*10,[1]Hugst!$R$4:$W$4,0))))</f>
        <v>69.893622299649508</v>
      </c>
      <c r="S174">
        <f ca="1">IF($C174-S$1&lt;År1,0,R173*(1-VLOOKUP($A174,[1]Hugst!$R$5:$W$9,MATCH(ROUNDUP((S$1)/10,0)*10,[1]Hugst!$R$4:$W$4,0))))</f>
        <v>70.049644308447569</v>
      </c>
      <c r="T174">
        <f ca="1">IF($C174-T$1&lt;År1,0,S173*(1-VLOOKUP($A174,[1]Hugst!$R$5:$W$9,MATCH(ROUNDUP((T$1)/10,0)*10,[1]Hugst!$R$4:$W$4,0))))</f>
        <v>70.206450347439187</v>
      </c>
      <c r="U174">
        <f ca="1">IF($C174-U$1&lt;År1,0,T173*(1-VLOOKUP($A174,[1]Hugst!$R$5:$W$9,MATCH(ROUNDUP((U$1)/10,0)*10,[1]Hugst!$R$4:$W$4,0))))</f>
        <v>70.364044356477635</v>
      </c>
      <c r="V174">
        <f ca="1">IF($C174-V$1&lt;År1,0,U173*(1-VLOOKUP($A174,[1]Hugst!$R$5:$W$9,MATCH(ROUNDUP((V$1)/10,0)*10,[1]Hugst!$R$4:$W$4,0))))</f>
        <v>70.522430295208849</v>
      </c>
      <c r="W174">
        <f ca="1">IF($C174-W$1&lt;År1,0,V173*(1-VLOOKUP($A174,[1]Hugst!$R$5:$W$9,MATCH(ROUNDUP((W$1)/10,0)*10,[1]Hugst!$R$4:$W$4,0))))</f>
        <v>70.681612143180047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90.132207184033689</v>
      </c>
      <c r="G175">
        <f ca="1">IF($C175-G$1&lt;År1,0,F174*(1-VLOOKUP($A175,[1]Hugst!$R$5:$W$9,MATCH(ROUNDUP((G$1)/10,0)*10,[1]Hugst!$R$4:$W$4,0))))</f>
        <v>90.278386496488167</v>
      </c>
      <c r="H175">
        <f ca="1">IF($C175-H$1&lt;År1,0,G174*(1-VLOOKUP($A175,[1]Hugst!$R$5:$W$9,MATCH(ROUNDUP((H$1)/10,0)*10,[1]Hugst!$R$4:$W$4,0))))</f>
        <v>90.425300378352233</v>
      </c>
      <c r="I175">
        <f ca="1">IF($C175-I$1&lt;År1,0,H174*(1-VLOOKUP($A175,[1]Hugst!$R$5:$W$9,MATCH(ROUNDUP((I$1)/10,0)*10,[1]Hugst!$R$4:$W$4,0))))</f>
        <v>90.572952520930073</v>
      </c>
      <c r="J175">
        <f ca="1">IF($C175-J$1&lt;År1,0,I174*(1-VLOOKUP($A175,[1]Hugst!$R$5:$W$9,MATCH(ROUNDUP((J$1)/10,0)*10,[1]Hugst!$R$4:$W$4,0))))</f>
        <v>90.721346634072461</v>
      </c>
      <c r="K175">
        <f ca="1">IF($C175-K$1&lt;År1,0,J174*(1-VLOOKUP($A175,[1]Hugst!$R$5:$W$9,MATCH(ROUNDUP((K$1)/10,0)*10,[1]Hugst!$R$4:$W$4,0))))</f>
        <v>90.870486446276232</v>
      </c>
      <c r="L175">
        <f ca="1">IF($C175-L$1&lt;År1,0,K174*(1-VLOOKUP($A175,[1]Hugst!$R$5:$W$9,MATCH(ROUNDUP((L$1)/10,0)*10,[1]Hugst!$R$4:$W$4,0))))</f>
        <v>91.02037570477313</v>
      </c>
      <c r="M175">
        <f ca="1">IF($C175-M$1&lt;År1,0,L174*(1-VLOOKUP($A175,[1]Hugst!$R$5:$W$9,MATCH(ROUNDUP((M$1)/10,0)*10,[1]Hugst!$R$4:$W$4,0))))</f>
        <v>91.171018175622692</v>
      </c>
      <c r="N175">
        <f ca="1">IF($C175-N$1&lt;År1,0,M174*(1-VLOOKUP($A175,[1]Hugst!$R$5:$W$9,MATCH(ROUNDUP((N$1)/10,0)*10,[1]Hugst!$R$4:$W$4,0))))</f>
        <v>69.125136187275132</v>
      </c>
      <c r="O175">
        <f ca="1">IF($C175-O$1&lt;År1,0,N174*(1-VLOOKUP($A175,[1]Hugst!$R$5:$W$9,MATCH(ROUNDUP((O$1)/10,0)*10,[1]Hugst!$R$4:$W$4,0))))</f>
        <v>69.277296456813701</v>
      </c>
      <c r="P175">
        <f ca="1">IF($C175-P$1&lt;År1,0,O174*(1-VLOOKUP($A175,[1]Hugst!$R$5:$W$9,MATCH(ROUNDUP((P$1)/10,0)*10,[1]Hugst!$R$4:$W$4,0))))</f>
        <v>69.430221350823388</v>
      </c>
      <c r="Q175">
        <f ca="1">IF($C175-Q$1&lt;År1,0,P174*(1-VLOOKUP($A175,[1]Hugst!$R$5:$W$9,MATCH(ROUNDUP((Q$1)/10,0)*10,[1]Hugst!$R$4:$W$4,0))))</f>
        <v>69.583914711636112</v>
      </c>
      <c r="R175">
        <f ca="1">IF($C175-R$1&lt;År1,0,Q174*(1-VLOOKUP($A175,[1]Hugst!$R$5:$W$9,MATCH(ROUNDUP((R$1)/10,0)*10,[1]Hugst!$R$4:$W$4,0))))</f>
        <v>69.73838040089737</v>
      </c>
      <c r="S175">
        <f ca="1">IF($C175-S$1&lt;År1,0,R174*(1-VLOOKUP($A175,[1]Hugst!$R$5:$W$9,MATCH(ROUNDUP((S$1)/10,0)*10,[1]Hugst!$R$4:$W$4,0))))</f>
        <v>69.893622299649508</v>
      </c>
      <c r="T175">
        <f ca="1">IF($C175-T$1&lt;År1,0,S174*(1-VLOOKUP($A175,[1]Hugst!$R$5:$W$9,MATCH(ROUNDUP((T$1)/10,0)*10,[1]Hugst!$R$4:$W$4,0))))</f>
        <v>70.049644308447569</v>
      </c>
      <c r="U175">
        <f ca="1">IF($C175-U$1&lt;År1,0,T174*(1-VLOOKUP($A175,[1]Hugst!$R$5:$W$9,MATCH(ROUNDUP((U$1)/10,0)*10,[1]Hugst!$R$4:$W$4,0))))</f>
        <v>70.206450347439187</v>
      </c>
      <c r="V175">
        <f ca="1">IF($C175-V$1&lt;År1,0,U174*(1-VLOOKUP($A175,[1]Hugst!$R$5:$W$9,MATCH(ROUNDUP((V$1)/10,0)*10,[1]Hugst!$R$4:$W$4,0))))</f>
        <v>70.364044356477635</v>
      </c>
      <c r="W175">
        <f ca="1">IF($C175-W$1&lt;År1,0,V174*(1-VLOOKUP($A175,[1]Hugst!$R$5:$W$9,MATCH(ROUNDUP((W$1)/10,0)*10,[1]Hugst!$R$4:$W$4,0))))</f>
        <v>70.522430295208849</v>
      </c>
      <c r="X175">
        <f ca="1">IF($C175-X$1&lt;År1,0,W174*(1-VLOOKUP($A175,[1]Hugst!$R$5:$W$9,MATCH(ROUNDUP((X$1)/10,0)*10,[1]Hugst!$R$4:$W$4,0))))</f>
        <v>70.681612143180047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89.98675876813985</v>
      </c>
      <c r="G176">
        <f ca="1">IF($C176-G$1&lt;År1,0,F175*(1-VLOOKUP($A176,[1]Hugst!$R$5:$W$9,MATCH(ROUNDUP((G$1)/10,0)*10,[1]Hugst!$R$4:$W$4,0))))</f>
        <v>90.132207184033689</v>
      </c>
      <c r="H176">
        <f ca="1">IF($C176-H$1&lt;År1,0,G175*(1-VLOOKUP($A176,[1]Hugst!$R$5:$W$9,MATCH(ROUNDUP((H$1)/10,0)*10,[1]Hugst!$R$4:$W$4,0))))</f>
        <v>90.278386496488167</v>
      </c>
      <c r="I176">
        <f ca="1">IF($C176-I$1&lt;År1,0,H175*(1-VLOOKUP($A176,[1]Hugst!$R$5:$W$9,MATCH(ROUNDUP((I$1)/10,0)*10,[1]Hugst!$R$4:$W$4,0))))</f>
        <v>90.425300378352233</v>
      </c>
      <c r="J176">
        <f ca="1">IF($C176-J$1&lt;År1,0,I175*(1-VLOOKUP($A176,[1]Hugst!$R$5:$W$9,MATCH(ROUNDUP((J$1)/10,0)*10,[1]Hugst!$R$4:$W$4,0))))</f>
        <v>90.572952520930073</v>
      </c>
      <c r="K176">
        <f ca="1">IF($C176-K$1&lt;År1,0,J175*(1-VLOOKUP($A176,[1]Hugst!$R$5:$W$9,MATCH(ROUNDUP((K$1)/10,0)*10,[1]Hugst!$R$4:$W$4,0))))</f>
        <v>90.721346634072461</v>
      </c>
      <c r="L176">
        <f ca="1">IF($C176-L$1&lt;År1,0,K175*(1-VLOOKUP($A176,[1]Hugst!$R$5:$W$9,MATCH(ROUNDUP((L$1)/10,0)*10,[1]Hugst!$R$4:$W$4,0))))</f>
        <v>90.870486446276232</v>
      </c>
      <c r="M176">
        <f ca="1">IF($C176-M$1&lt;År1,0,L175*(1-VLOOKUP($A176,[1]Hugst!$R$5:$W$9,MATCH(ROUNDUP((M$1)/10,0)*10,[1]Hugst!$R$4:$W$4,0))))</f>
        <v>91.02037570477313</v>
      </c>
      <c r="N176">
        <f ca="1">IF($C176-N$1&lt;År1,0,M175*(1-VLOOKUP($A176,[1]Hugst!$R$5:$W$9,MATCH(ROUNDUP((N$1)/10,0)*10,[1]Hugst!$R$4:$W$4,0))))</f>
        <v>91.171018175622692</v>
      </c>
      <c r="O176">
        <f ca="1">IF($C176-O$1&lt;År1,0,N175*(1-VLOOKUP($A176,[1]Hugst!$R$5:$W$9,MATCH(ROUNDUP((O$1)/10,0)*10,[1]Hugst!$R$4:$W$4,0))))</f>
        <v>69.125136187275132</v>
      </c>
      <c r="P176">
        <f ca="1">IF($C176-P$1&lt;År1,0,O175*(1-VLOOKUP($A176,[1]Hugst!$R$5:$W$9,MATCH(ROUNDUP((P$1)/10,0)*10,[1]Hugst!$R$4:$W$4,0))))</f>
        <v>69.277296456813701</v>
      </c>
      <c r="Q176">
        <f ca="1">IF($C176-Q$1&lt;År1,0,P175*(1-VLOOKUP($A176,[1]Hugst!$R$5:$W$9,MATCH(ROUNDUP((Q$1)/10,0)*10,[1]Hugst!$R$4:$W$4,0))))</f>
        <v>69.430221350823388</v>
      </c>
      <c r="R176">
        <f ca="1">IF($C176-R$1&lt;År1,0,Q175*(1-VLOOKUP($A176,[1]Hugst!$R$5:$W$9,MATCH(ROUNDUP((R$1)/10,0)*10,[1]Hugst!$R$4:$W$4,0))))</f>
        <v>69.583914711636112</v>
      </c>
      <c r="S176">
        <f ca="1">IF($C176-S$1&lt;År1,0,R175*(1-VLOOKUP($A176,[1]Hugst!$R$5:$W$9,MATCH(ROUNDUP((S$1)/10,0)*10,[1]Hugst!$R$4:$W$4,0))))</f>
        <v>69.73838040089737</v>
      </c>
      <c r="T176">
        <f ca="1">IF($C176-T$1&lt;År1,0,S175*(1-VLOOKUP($A176,[1]Hugst!$R$5:$W$9,MATCH(ROUNDUP((T$1)/10,0)*10,[1]Hugst!$R$4:$W$4,0))))</f>
        <v>69.893622299649508</v>
      </c>
      <c r="U176">
        <f ca="1">IF($C176-U$1&lt;År1,0,T175*(1-VLOOKUP($A176,[1]Hugst!$R$5:$W$9,MATCH(ROUNDUP((U$1)/10,0)*10,[1]Hugst!$R$4:$W$4,0))))</f>
        <v>70.049644308447569</v>
      </c>
      <c r="V176">
        <f ca="1">IF($C176-V$1&lt;År1,0,U175*(1-VLOOKUP($A176,[1]Hugst!$R$5:$W$9,MATCH(ROUNDUP((V$1)/10,0)*10,[1]Hugst!$R$4:$W$4,0))))</f>
        <v>70.206450347439187</v>
      </c>
      <c r="W176">
        <f ca="1">IF($C176-W$1&lt;År1,0,V175*(1-VLOOKUP($A176,[1]Hugst!$R$5:$W$9,MATCH(ROUNDUP((W$1)/10,0)*10,[1]Hugst!$R$4:$W$4,0))))</f>
        <v>70.364044356477635</v>
      </c>
      <c r="X176">
        <f ca="1">IF($C176-X$1&lt;År1,0,W175*(1-VLOOKUP($A176,[1]Hugst!$R$5:$W$9,MATCH(ROUNDUP((X$1)/10,0)*10,[1]Hugst!$R$4:$W$4,0))))</f>
        <v>70.522430295208849</v>
      </c>
      <c r="Y176">
        <f ca="1">IF($C176-Y$1&lt;År1,0,X175*(1-VLOOKUP($A176,[1]Hugst!$R$5:$W$9,MATCH(ROUNDUP((Y$1)/10,0)*10,[1]Hugst!$R$4:$W$4,0))))</f>
        <v>70.681612143180047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89.842037594326996</v>
      </c>
      <c r="G177">
        <f ca="1">IF($C177-G$1&lt;År1,0,F176*(1-VLOOKUP($A177,[1]Hugst!$R$5:$W$9,MATCH(ROUNDUP((G$1)/10,0)*10,[1]Hugst!$R$4:$W$4,0))))</f>
        <v>89.98675876813985</v>
      </c>
      <c r="H177">
        <f ca="1">IF($C177-H$1&lt;År1,0,G176*(1-VLOOKUP($A177,[1]Hugst!$R$5:$W$9,MATCH(ROUNDUP((H$1)/10,0)*10,[1]Hugst!$R$4:$W$4,0))))</f>
        <v>90.132207184033689</v>
      </c>
      <c r="I177">
        <f ca="1">IF($C177-I$1&lt;År1,0,H176*(1-VLOOKUP($A177,[1]Hugst!$R$5:$W$9,MATCH(ROUNDUP((I$1)/10,0)*10,[1]Hugst!$R$4:$W$4,0))))</f>
        <v>90.278386496488167</v>
      </c>
      <c r="J177">
        <f ca="1">IF($C177-J$1&lt;År1,0,I176*(1-VLOOKUP($A177,[1]Hugst!$R$5:$W$9,MATCH(ROUNDUP((J$1)/10,0)*10,[1]Hugst!$R$4:$W$4,0))))</f>
        <v>90.425300378352233</v>
      </c>
      <c r="K177">
        <f ca="1">IF($C177-K$1&lt;År1,0,J176*(1-VLOOKUP($A177,[1]Hugst!$R$5:$W$9,MATCH(ROUNDUP((K$1)/10,0)*10,[1]Hugst!$R$4:$W$4,0))))</f>
        <v>90.572952520930073</v>
      </c>
      <c r="L177">
        <f ca="1">IF($C177-L$1&lt;År1,0,K176*(1-VLOOKUP($A177,[1]Hugst!$R$5:$W$9,MATCH(ROUNDUP((L$1)/10,0)*10,[1]Hugst!$R$4:$W$4,0))))</f>
        <v>90.721346634072461</v>
      </c>
      <c r="M177">
        <f ca="1">IF($C177-M$1&lt;År1,0,L176*(1-VLOOKUP($A177,[1]Hugst!$R$5:$W$9,MATCH(ROUNDUP((M$1)/10,0)*10,[1]Hugst!$R$4:$W$4,0))))</f>
        <v>90.870486446276232</v>
      </c>
      <c r="N177">
        <f ca="1">IF($C177-N$1&lt;År1,0,M176*(1-VLOOKUP($A177,[1]Hugst!$R$5:$W$9,MATCH(ROUNDUP((N$1)/10,0)*10,[1]Hugst!$R$4:$W$4,0))))</f>
        <v>91.02037570477313</v>
      </c>
      <c r="O177">
        <f ca="1">IF($C177-O$1&lt;År1,0,N176*(1-VLOOKUP($A177,[1]Hugst!$R$5:$W$9,MATCH(ROUNDUP((O$1)/10,0)*10,[1]Hugst!$R$4:$W$4,0))))</f>
        <v>91.171018175622692</v>
      </c>
      <c r="P177">
        <f ca="1">IF($C177-P$1&lt;År1,0,O176*(1-VLOOKUP($A177,[1]Hugst!$R$5:$W$9,MATCH(ROUNDUP((P$1)/10,0)*10,[1]Hugst!$R$4:$W$4,0))))</f>
        <v>69.125136187275132</v>
      </c>
      <c r="Q177">
        <f ca="1">IF($C177-Q$1&lt;År1,0,P176*(1-VLOOKUP($A177,[1]Hugst!$R$5:$W$9,MATCH(ROUNDUP((Q$1)/10,0)*10,[1]Hugst!$R$4:$W$4,0))))</f>
        <v>69.277296456813701</v>
      </c>
      <c r="R177">
        <f ca="1">IF($C177-R$1&lt;År1,0,Q176*(1-VLOOKUP($A177,[1]Hugst!$R$5:$W$9,MATCH(ROUNDUP((R$1)/10,0)*10,[1]Hugst!$R$4:$W$4,0))))</f>
        <v>69.430221350823388</v>
      </c>
      <c r="S177">
        <f ca="1">IF($C177-S$1&lt;År1,0,R176*(1-VLOOKUP($A177,[1]Hugst!$R$5:$W$9,MATCH(ROUNDUP((S$1)/10,0)*10,[1]Hugst!$R$4:$W$4,0))))</f>
        <v>69.583914711636112</v>
      </c>
      <c r="T177">
        <f ca="1">IF($C177-T$1&lt;År1,0,S176*(1-VLOOKUP($A177,[1]Hugst!$R$5:$W$9,MATCH(ROUNDUP((T$1)/10,0)*10,[1]Hugst!$R$4:$W$4,0))))</f>
        <v>69.73838040089737</v>
      </c>
      <c r="U177">
        <f ca="1">IF($C177-U$1&lt;År1,0,T176*(1-VLOOKUP($A177,[1]Hugst!$R$5:$W$9,MATCH(ROUNDUP((U$1)/10,0)*10,[1]Hugst!$R$4:$W$4,0))))</f>
        <v>69.893622299649508</v>
      </c>
      <c r="V177">
        <f ca="1">IF($C177-V$1&lt;År1,0,U176*(1-VLOOKUP($A177,[1]Hugst!$R$5:$W$9,MATCH(ROUNDUP((V$1)/10,0)*10,[1]Hugst!$R$4:$W$4,0))))</f>
        <v>70.049644308447569</v>
      </c>
      <c r="W177">
        <f ca="1">IF($C177-W$1&lt;År1,0,V176*(1-VLOOKUP($A177,[1]Hugst!$R$5:$W$9,MATCH(ROUNDUP((W$1)/10,0)*10,[1]Hugst!$R$4:$W$4,0))))</f>
        <v>70.206450347439187</v>
      </c>
      <c r="X177">
        <f ca="1">IF($C177-X$1&lt;År1,0,W176*(1-VLOOKUP($A177,[1]Hugst!$R$5:$W$9,MATCH(ROUNDUP((X$1)/10,0)*10,[1]Hugst!$R$4:$W$4,0))))</f>
        <v>70.364044356477635</v>
      </c>
      <c r="Y177">
        <f ca="1">IF($C177-Y$1&lt;År1,0,X176*(1-VLOOKUP($A177,[1]Hugst!$R$5:$W$9,MATCH(ROUNDUP((Y$1)/10,0)*10,[1]Hugst!$R$4:$W$4,0))))</f>
        <v>70.522430295208849</v>
      </c>
      <c r="Z177">
        <f ca="1">IF($C177-Z$1&lt;År1,0,Y176*(1-VLOOKUP($A177,[1]Hugst!$R$5:$W$9,MATCH(ROUNDUP((Z$1)/10,0)*10,[1]Hugst!$R$4:$W$4,0))))</f>
        <v>70.681612143180047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89.698040026383126</v>
      </c>
      <c r="G178">
        <f ca="1">IF($C178-G$1&lt;År1,0,F177*(1-VLOOKUP($A178,[1]Hugst!$R$5:$W$9,MATCH(ROUNDUP((G$1)/10,0)*10,[1]Hugst!$R$4:$W$4,0))))</f>
        <v>89.842037594326996</v>
      </c>
      <c r="H178">
        <f ca="1">IF($C178-H$1&lt;År1,0,G177*(1-VLOOKUP($A178,[1]Hugst!$R$5:$W$9,MATCH(ROUNDUP((H$1)/10,0)*10,[1]Hugst!$R$4:$W$4,0))))</f>
        <v>89.98675876813985</v>
      </c>
      <c r="I178">
        <f ca="1">IF($C178-I$1&lt;År1,0,H177*(1-VLOOKUP($A178,[1]Hugst!$R$5:$W$9,MATCH(ROUNDUP((I$1)/10,0)*10,[1]Hugst!$R$4:$W$4,0))))</f>
        <v>90.132207184033689</v>
      </c>
      <c r="J178">
        <f ca="1">IF($C178-J$1&lt;År1,0,I177*(1-VLOOKUP($A178,[1]Hugst!$R$5:$W$9,MATCH(ROUNDUP((J$1)/10,0)*10,[1]Hugst!$R$4:$W$4,0))))</f>
        <v>90.278386496488167</v>
      </c>
      <c r="K178">
        <f ca="1">IF($C178-K$1&lt;År1,0,J177*(1-VLOOKUP($A178,[1]Hugst!$R$5:$W$9,MATCH(ROUNDUP((K$1)/10,0)*10,[1]Hugst!$R$4:$W$4,0))))</f>
        <v>90.425300378352233</v>
      </c>
      <c r="L178">
        <f ca="1">IF($C178-L$1&lt;År1,0,K177*(1-VLOOKUP($A178,[1]Hugst!$R$5:$W$9,MATCH(ROUNDUP((L$1)/10,0)*10,[1]Hugst!$R$4:$W$4,0))))</f>
        <v>90.572952520930073</v>
      </c>
      <c r="M178">
        <f ca="1">IF($C178-M$1&lt;År1,0,L177*(1-VLOOKUP($A178,[1]Hugst!$R$5:$W$9,MATCH(ROUNDUP((M$1)/10,0)*10,[1]Hugst!$R$4:$W$4,0))))</f>
        <v>90.721346634072461</v>
      </c>
      <c r="N178">
        <f ca="1">IF($C178-N$1&lt;År1,0,M177*(1-VLOOKUP($A178,[1]Hugst!$R$5:$W$9,MATCH(ROUNDUP((N$1)/10,0)*10,[1]Hugst!$R$4:$W$4,0))))</f>
        <v>90.870486446276232</v>
      </c>
      <c r="O178">
        <f ca="1">IF($C178-O$1&lt;År1,0,N177*(1-VLOOKUP($A178,[1]Hugst!$R$5:$W$9,MATCH(ROUNDUP((O$1)/10,0)*10,[1]Hugst!$R$4:$W$4,0))))</f>
        <v>91.02037570477313</v>
      </c>
      <c r="P178">
        <f ca="1">IF($C178-P$1&lt;År1,0,O177*(1-VLOOKUP($A178,[1]Hugst!$R$5:$W$9,MATCH(ROUNDUP((P$1)/10,0)*10,[1]Hugst!$R$4:$W$4,0))))</f>
        <v>91.171018175622692</v>
      </c>
      <c r="Q178">
        <f ca="1">IF($C178-Q$1&lt;År1,0,P177*(1-VLOOKUP($A178,[1]Hugst!$R$5:$W$9,MATCH(ROUNDUP((Q$1)/10,0)*10,[1]Hugst!$R$4:$W$4,0))))</f>
        <v>69.125136187275132</v>
      </c>
      <c r="R178">
        <f ca="1">IF($C178-R$1&lt;År1,0,Q177*(1-VLOOKUP($A178,[1]Hugst!$R$5:$W$9,MATCH(ROUNDUP((R$1)/10,0)*10,[1]Hugst!$R$4:$W$4,0))))</f>
        <v>69.277296456813701</v>
      </c>
      <c r="S178">
        <f ca="1">IF($C178-S$1&lt;År1,0,R177*(1-VLOOKUP($A178,[1]Hugst!$R$5:$W$9,MATCH(ROUNDUP((S$1)/10,0)*10,[1]Hugst!$R$4:$W$4,0))))</f>
        <v>69.430221350823388</v>
      </c>
      <c r="T178">
        <f ca="1">IF($C178-T$1&lt;År1,0,S177*(1-VLOOKUP($A178,[1]Hugst!$R$5:$W$9,MATCH(ROUNDUP((T$1)/10,0)*10,[1]Hugst!$R$4:$W$4,0))))</f>
        <v>69.583914711636112</v>
      </c>
      <c r="U178">
        <f ca="1">IF($C178-U$1&lt;År1,0,T177*(1-VLOOKUP($A178,[1]Hugst!$R$5:$W$9,MATCH(ROUNDUP((U$1)/10,0)*10,[1]Hugst!$R$4:$W$4,0))))</f>
        <v>69.73838040089737</v>
      </c>
      <c r="V178">
        <f ca="1">IF($C178-V$1&lt;År1,0,U177*(1-VLOOKUP($A178,[1]Hugst!$R$5:$W$9,MATCH(ROUNDUP((V$1)/10,0)*10,[1]Hugst!$R$4:$W$4,0))))</f>
        <v>69.893622299649508</v>
      </c>
      <c r="W178">
        <f ca="1">IF($C178-W$1&lt;År1,0,V177*(1-VLOOKUP($A178,[1]Hugst!$R$5:$W$9,MATCH(ROUNDUP((W$1)/10,0)*10,[1]Hugst!$R$4:$W$4,0))))</f>
        <v>70.049644308447569</v>
      </c>
      <c r="X178">
        <f ca="1">IF($C178-X$1&lt;År1,0,W177*(1-VLOOKUP($A178,[1]Hugst!$R$5:$W$9,MATCH(ROUNDUP((X$1)/10,0)*10,[1]Hugst!$R$4:$W$4,0))))</f>
        <v>70.206450347439187</v>
      </c>
      <c r="Y178">
        <f ca="1">IF($C178-Y$1&lt;År1,0,X177*(1-VLOOKUP($A178,[1]Hugst!$R$5:$W$9,MATCH(ROUNDUP((Y$1)/10,0)*10,[1]Hugst!$R$4:$W$4,0))))</f>
        <v>70.364044356477635</v>
      </c>
      <c r="Z178">
        <f ca="1">IF($C178-Z$1&lt;År1,0,Y177*(1-VLOOKUP($A178,[1]Hugst!$R$5:$W$9,MATCH(ROUNDUP((Z$1)/10,0)*10,[1]Hugst!$R$4:$W$4,0))))</f>
        <v>70.522430295208849</v>
      </c>
      <c r="AA178">
        <f ca="1">IF($C178-AA$1&lt;År1,0,Z177*(1-VLOOKUP($A178,[1]Hugst!$R$5:$W$9,MATCH(ROUNDUP((AA$1)/10,0)*10,[1]Hugst!$R$4:$W$4,0))))</f>
        <v>70.681612143180047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89.554762446278403</v>
      </c>
      <c r="G179">
        <f ca="1">IF($C179-G$1&lt;År1,0,F178*(1-VLOOKUP($A179,[1]Hugst!$R$5:$W$9,MATCH(ROUNDUP((G$1)/10,0)*10,[1]Hugst!$R$4:$W$4,0))))</f>
        <v>89.698040026383126</v>
      </c>
      <c r="H179">
        <f ca="1">IF($C179-H$1&lt;År1,0,G178*(1-VLOOKUP($A179,[1]Hugst!$R$5:$W$9,MATCH(ROUNDUP((H$1)/10,0)*10,[1]Hugst!$R$4:$W$4,0))))</f>
        <v>89.842037594326996</v>
      </c>
      <c r="I179">
        <f ca="1">IF($C179-I$1&lt;År1,0,H178*(1-VLOOKUP($A179,[1]Hugst!$R$5:$W$9,MATCH(ROUNDUP((I$1)/10,0)*10,[1]Hugst!$R$4:$W$4,0))))</f>
        <v>89.98675876813985</v>
      </c>
      <c r="J179">
        <f ca="1">IF($C179-J$1&lt;År1,0,I178*(1-VLOOKUP($A179,[1]Hugst!$R$5:$W$9,MATCH(ROUNDUP((J$1)/10,0)*10,[1]Hugst!$R$4:$W$4,0))))</f>
        <v>90.132207184033689</v>
      </c>
      <c r="K179">
        <f ca="1">IF($C179-K$1&lt;År1,0,J178*(1-VLOOKUP($A179,[1]Hugst!$R$5:$W$9,MATCH(ROUNDUP((K$1)/10,0)*10,[1]Hugst!$R$4:$W$4,0))))</f>
        <v>90.278386496488167</v>
      </c>
      <c r="L179">
        <f ca="1">IF($C179-L$1&lt;År1,0,K178*(1-VLOOKUP($A179,[1]Hugst!$R$5:$W$9,MATCH(ROUNDUP((L$1)/10,0)*10,[1]Hugst!$R$4:$W$4,0))))</f>
        <v>90.425300378352233</v>
      </c>
      <c r="M179">
        <f ca="1">IF($C179-M$1&lt;År1,0,L178*(1-VLOOKUP($A179,[1]Hugst!$R$5:$W$9,MATCH(ROUNDUP((M$1)/10,0)*10,[1]Hugst!$R$4:$W$4,0))))</f>
        <v>90.572952520930073</v>
      </c>
      <c r="N179">
        <f ca="1">IF($C179-N$1&lt;År1,0,M178*(1-VLOOKUP($A179,[1]Hugst!$R$5:$W$9,MATCH(ROUNDUP((N$1)/10,0)*10,[1]Hugst!$R$4:$W$4,0))))</f>
        <v>90.721346634072461</v>
      </c>
      <c r="O179">
        <f ca="1">IF($C179-O$1&lt;År1,0,N178*(1-VLOOKUP($A179,[1]Hugst!$R$5:$W$9,MATCH(ROUNDUP((O$1)/10,0)*10,[1]Hugst!$R$4:$W$4,0))))</f>
        <v>90.870486446276232</v>
      </c>
      <c r="P179">
        <f ca="1">IF($C179-P$1&lt;År1,0,O178*(1-VLOOKUP($A179,[1]Hugst!$R$5:$W$9,MATCH(ROUNDUP((P$1)/10,0)*10,[1]Hugst!$R$4:$W$4,0))))</f>
        <v>91.02037570477313</v>
      </c>
      <c r="Q179">
        <f ca="1">IF($C179-Q$1&lt;År1,0,P178*(1-VLOOKUP($A179,[1]Hugst!$R$5:$W$9,MATCH(ROUNDUP((Q$1)/10,0)*10,[1]Hugst!$R$4:$W$4,0))))</f>
        <v>91.171018175622692</v>
      </c>
      <c r="R179">
        <f ca="1">IF($C179-R$1&lt;År1,0,Q178*(1-VLOOKUP($A179,[1]Hugst!$R$5:$W$9,MATCH(ROUNDUP((R$1)/10,0)*10,[1]Hugst!$R$4:$W$4,0))))</f>
        <v>69.125136187275132</v>
      </c>
      <c r="S179">
        <f ca="1">IF($C179-S$1&lt;År1,0,R178*(1-VLOOKUP($A179,[1]Hugst!$R$5:$W$9,MATCH(ROUNDUP((S$1)/10,0)*10,[1]Hugst!$R$4:$W$4,0))))</f>
        <v>69.277296456813701</v>
      </c>
      <c r="T179">
        <f ca="1">IF($C179-T$1&lt;År1,0,S178*(1-VLOOKUP($A179,[1]Hugst!$R$5:$W$9,MATCH(ROUNDUP((T$1)/10,0)*10,[1]Hugst!$R$4:$W$4,0))))</f>
        <v>69.430221350823388</v>
      </c>
      <c r="U179">
        <f ca="1">IF($C179-U$1&lt;År1,0,T178*(1-VLOOKUP($A179,[1]Hugst!$R$5:$W$9,MATCH(ROUNDUP((U$1)/10,0)*10,[1]Hugst!$R$4:$W$4,0))))</f>
        <v>69.583914711636112</v>
      </c>
      <c r="V179">
        <f ca="1">IF($C179-V$1&lt;År1,0,U178*(1-VLOOKUP($A179,[1]Hugst!$R$5:$W$9,MATCH(ROUNDUP((V$1)/10,0)*10,[1]Hugst!$R$4:$W$4,0))))</f>
        <v>69.73838040089737</v>
      </c>
      <c r="W179">
        <f ca="1">IF($C179-W$1&lt;År1,0,V178*(1-VLOOKUP($A179,[1]Hugst!$R$5:$W$9,MATCH(ROUNDUP((W$1)/10,0)*10,[1]Hugst!$R$4:$W$4,0))))</f>
        <v>69.893622299649508</v>
      </c>
      <c r="X179">
        <f ca="1">IF($C179-X$1&lt;År1,0,W178*(1-VLOOKUP($A179,[1]Hugst!$R$5:$W$9,MATCH(ROUNDUP((X$1)/10,0)*10,[1]Hugst!$R$4:$W$4,0))))</f>
        <v>70.049644308447569</v>
      </c>
      <c r="Y179">
        <f ca="1">IF($C179-Y$1&lt;År1,0,X178*(1-VLOOKUP($A179,[1]Hugst!$R$5:$W$9,MATCH(ROUNDUP((Y$1)/10,0)*10,[1]Hugst!$R$4:$W$4,0))))</f>
        <v>70.206450347439187</v>
      </c>
      <c r="Z179">
        <f ca="1">IF($C179-Z$1&lt;År1,0,Y178*(1-VLOOKUP($A179,[1]Hugst!$R$5:$W$9,MATCH(ROUNDUP((Z$1)/10,0)*10,[1]Hugst!$R$4:$W$4,0))))</f>
        <v>70.364044356477635</v>
      </c>
      <c r="AA179">
        <f ca="1">IF($C179-AA$1&lt;År1,0,Z178*(1-VLOOKUP($A179,[1]Hugst!$R$5:$W$9,MATCH(ROUNDUP((AA$1)/10,0)*10,[1]Hugst!$R$4:$W$4,0))))</f>
        <v>70.522430295208849</v>
      </c>
      <c r="AB179">
        <f ca="1">IF($C179-AB$1&lt;År1,0,AA178*(1-VLOOKUP($A179,[1]Hugst!$R$5:$W$9,MATCH(ROUNDUP((AB$1)/10,0)*10,[1]Hugst!$R$4:$W$4,0))))</f>
        <v>70.681612143180047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89.41220125407466</v>
      </c>
      <c r="G180">
        <f ca="1">IF($C180-G$1&lt;År1,0,F179*(1-VLOOKUP($A180,[1]Hugst!$R$5:$W$9,MATCH(ROUNDUP((G$1)/10,0)*10,[1]Hugst!$R$4:$W$4,0))))</f>
        <v>89.554762446278403</v>
      </c>
      <c r="H180">
        <f ca="1">IF($C180-H$1&lt;År1,0,G179*(1-VLOOKUP($A180,[1]Hugst!$R$5:$W$9,MATCH(ROUNDUP((H$1)/10,0)*10,[1]Hugst!$R$4:$W$4,0))))</f>
        <v>89.698040026383126</v>
      </c>
      <c r="I180">
        <f ca="1">IF($C180-I$1&lt;År1,0,H179*(1-VLOOKUP($A180,[1]Hugst!$R$5:$W$9,MATCH(ROUNDUP((I$1)/10,0)*10,[1]Hugst!$R$4:$W$4,0))))</f>
        <v>89.842037594326996</v>
      </c>
      <c r="J180">
        <f ca="1">IF($C180-J$1&lt;År1,0,I179*(1-VLOOKUP($A180,[1]Hugst!$R$5:$W$9,MATCH(ROUNDUP((J$1)/10,0)*10,[1]Hugst!$R$4:$W$4,0))))</f>
        <v>89.98675876813985</v>
      </c>
      <c r="K180">
        <f ca="1">IF($C180-K$1&lt;År1,0,J179*(1-VLOOKUP($A180,[1]Hugst!$R$5:$W$9,MATCH(ROUNDUP((K$1)/10,0)*10,[1]Hugst!$R$4:$W$4,0))))</f>
        <v>90.132207184033689</v>
      </c>
      <c r="L180">
        <f ca="1">IF($C180-L$1&lt;År1,0,K179*(1-VLOOKUP($A180,[1]Hugst!$R$5:$W$9,MATCH(ROUNDUP((L$1)/10,0)*10,[1]Hugst!$R$4:$W$4,0))))</f>
        <v>90.278386496488167</v>
      </c>
      <c r="M180">
        <f ca="1">IF($C180-M$1&lt;År1,0,L179*(1-VLOOKUP($A180,[1]Hugst!$R$5:$W$9,MATCH(ROUNDUP((M$1)/10,0)*10,[1]Hugst!$R$4:$W$4,0))))</f>
        <v>90.425300378352233</v>
      </c>
      <c r="N180">
        <f ca="1">IF($C180-N$1&lt;År1,0,M179*(1-VLOOKUP($A180,[1]Hugst!$R$5:$W$9,MATCH(ROUNDUP((N$1)/10,0)*10,[1]Hugst!$R$4:$W$4,0))))</f>
        <v>90.572952520930073</v>
      </c>
      <c r="O180">
        <f ca="1">IF($C180-O$1&lt;År1,0,N179*(1-VLOOKUP($A180,[1]Hugst!$R$5:$W$9,MATCH(ROUNDUP((O$1)/10,0)*10,[1]Hugst!$R$4:$W$4,0))))</f>
        <v>90.721346634072461</v>
      </c>
      <c r="P180">
        <f ca="1">IF($C180-P$1&lt;År1,0,O179*(1-VLOOKUP($A180,[1]Hugst!$R$5:$W$9,MATCH(ROUNDUP((P$1)/10,0)*10,[1]Hugst!$R$4:$W$4,0))))</f>
        <v>90.870486446276232</v>
      </c>
      <c r="Q180">
        <f ca="1">IF($C180-Q$1&lt;År1,0,P179*(1-VLOOKUP($A180,[1]Hugst!$R$5:$W$9,MATCH(ROUNDUP((Q$1)/10,0)*10,[1]Hugst!$R$4:$W$4,0))))</f>
        <v>91.02037570477313</v>
      </c>
      <c r="R180">
        <f ca="1">IF($C180-R$1&lt;År1,0,Q179*(1-VLOOKUP($A180,[1]Hugst!$R$5:$W$9,MATCH(ROUNDUP((R$1)/10,0)*10,[1]Hugst!$R$4:$W$4,0))))</f>
        <v>91.171018175622692</v>
      </c>
      <c r="S180">
        <f ca="1">IF($C180-S$1&lt;År1,0,R179*(1-VLOOKUP($A180,[1]Hugst!$R$5:$W$9,MATCH(ROUNDUP((S$1)/10,0)*10,[1]Hugst!$R$4:$W$4,0))))</f>
        <v>69.125136187275132</v>
      </c>
      <c r="T180">
        <f ca="1">IF($C180-T$1&lt;År1,0,S179*(1-VLOOKUP($A180,[1]Hugst!$R$5:$W$9,MATCH(ROUNDUP((T$1)/10,0)*10,[1]Hugst!$R$4:$W$4,0))))</f>
        <v>69.277296456813701</v>
      </c>
      <c r="U180">
        <f ca="1">IF($C180-U$1&lt;År1,0,T179*(1-VLOOKUP($A180,[1]Hugst!$R$5:$W$9,MATCH(ROUNDUP((U$1)/10,0)*10,[1]Hugst!$R$4:$W$4,0))))</f>
        <v>69.430221350823388</v>
      </c>
      <c r="V180">
        <f ca="1">IF($C180-V$1&lt;År1,0,U179*(1-VLOOKUP($A180,[1]Hugst!$R$5:$W$9,MATCH(ROUNDUP((V$1)/10,0)*10,[1]Hugst!$R$4:$W$4,0))))</f>
        <v>69.583914711636112</v>
      </c>
      <c r="W180">
        <f ca="1">IF($C180-W$1&lt;År1,0,V179*(1-VLOOKUP($A180,[1]Hugst!$R$5:$W$9,MATCH(ROUNDUP((W$1)/10,0)*10,[1]Hugst!$R$4:$W$4,0))))</f>
        <v>69.73838040089737</v>
      </c>
      <c r="X180">
        <f ca="1">IF($C180-X$1&lt;År1,0,W179*(1-VLOOKUP($A180,[1]Hugst!$R$5:$W$9,MATCH(ROUNDUP((X$1)/10,0)*10,[1]Hugst!$R$4:$W$4,0))))</f>
        <v>69.893622299649508</v>
      </c>
      <c r="Y180">
        <f ca="1">IF($C180-Y$1&lt;År1,0,X179*(1-VLOOKUP($A180,[1]Hugst!$R$5:$W$9,MATCH(ROUNDUP((Y$1)/10,0)*10,[1]Hugst!$R$4:$W$4,0))))</f>
        <v>70.049644308447569</v>
      </c>
      <c r="Z180">
        <f ca="1">IF($C180-Z$1&lt;År1,0,Y179*(1-VLOOKUP($A180,[1]Hugst!$R$5:$W$9,MATCH(ROUNDUP((Z$1)/10,0)*10,[1]Hugst!$R$4:$W$4,0))))</f>
        <v>70.206450347439187</v>
      </c>
      <c r="AA180">
        <f ca="1">IF($C180-AA$1&lt;År1,0,Z179*(1-VLOOKUP($A180,[1]Hugst!$R$5:$W$9,MATCH(ROUNDUP((AA$1)/10,0)*10,[1]Hugst!$R$4:$W$4,0))))</f>
        <v>70.364044356477635</v>
      </c>
      <c r="AB180">
        <f ca="1">IF($C180-AB$1&lt;År1,0,AA179*(1-VLOOKUP($A180,[1]Hugst!$R$5:$W$9,MATCH(ROUNDUP((AB$1)/10,0)*10,[1]Hugst!$R$4:$W$4,0))))</f>
        <v>70.522430295208849</v>
      </c>
      <c r="AC180">
        <f ca="1">IF($C180-AC$1&lt;År1,0,AB179*(1-VLOOKUP($A180,[1]Hugst!$R$5:$W$9,MATCH(ROUNDUP((AC$1)/10,0)*10,[1]Hugst!$R$4:$W$4,0))))</f>
        <v>70.681612143180047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89.27035286783115</v>
      </c>
      <c r="G181">
        <f ca="1">IF($C181-G$1&lt;År1,0,F180*(1-VLOOKUP($A181,[1]Hugst!$R$5:$W$9,MATCH(ROUNDUP((G$1)/10,0)*10,[1]Hugst!$R$4:$W$4,0))))</f>
        <v>89.41220125407466</v>
      </c>
      <c r="H181">
        <f ca="1">IF($C181-H$1&lt;År1,0,G180*(1-VLOOKUP($A181,[1]Hugst!$R$5:$W$9,MATCH(ROUNDUP((H$1)/10,0)*10,[1]Hugst!$R$4:$W$4,0))))</f>
        <v>89.554762446278403</v>
      </c>
      <c r="I181">
        <f ca="1">IF($C181-I$1&lt;År1,0,H180*(1-VLOOKUP($A181,[1]Hugst!$R$5:$W$9,MATCH(ROUNDUP((I$1)/10,0)*10,[1]Hugst!$R$4:$W$4,0))))</f>
        <v>89.698040026383126</v>
      </c>
      <c r="J181">
        <f ca="1">IF($C181-J$1&lt;År1,0,I180*(1-VLOOKUP($A181,[1]Hugst!$R$5:$W$9,MATCH(ROUNDUP((J$1)/10,0)*10,[1]Hugst!$R$4:$W$4,0))))</f>
        <v>89.842037594326996</v>
      </c>
      <c r="K181">
        <f ca="1">IF($C181-K$1&lt;År1,0,J180*(1-VLOOKUP($A181,[1]Hugst!$R$5:$W$9,MATCH(ROUNDUP((K$1)/10,0)*10,[1]Hugst!$R$4:$W$4,0))))</f>
        <v>89.98675876813985</v>
      </c>
      <c r="L181">
        <f ca="1">IF($C181-L$1&lt;År1,0,K180*(1-VLOOKUP($A181,[1]Hugst!$R$5:$W$9,MATCH(ROUNDUP((L$1)/10,0)*10,[1]Hugst!$R$4:$W$4,0))))</f>
        <v>90.132207184033689</v>
      </c>
      <c r="M181">
        <f ca="1">IF($C181-M$1&lt;År1,0,L180*(1-VLOOKUP($A181,[1]Hugst!$R$5:$W$9,MATCH(ROUNDUP((M$1)/10,0)*10,[1]Hugst!$R$4:$W$4,0))))</f>
        <v>90.278386496488167</v>
      </c>
      <c r="N181">
        <f ca="1">IF($C181-N$1&lt;År1,0,M180*(1-VLOOKUP($A181,[1]Hugst!$R$5:$W$9,MATCH(ROUNDUP((N$1)/10,0)*10,[1]Hugst!$R$4:$W$4,0))))</f>
        <v>90.425300378352233</v>
      </c>
      <c r="O181">
        <f ca="1">IF($C181-O$1&lt;År1,0,N180*(1-VLOOKUP($A181,[1]Hugst!$R$5:$W$9,MATCH(ROUNDUP((O$1)/10,0)*10,[1]Hugst!$R$4:$W$4,0))))</f>
        <v>90.572952520930073</v>
      </c>
      <c r="P181">
        <f ca="1">IF($C181-P$1&lt;År1,0,O180*(1-VLOOKUP($A181,[1]Hugst!$R$5:$W$9,MATCH(ROUNDUP((P$1)/10,0)*10,[1]Hugst!$R$4:$W$4,0))))</f>
        <v>90.721346634072461</v>
      </c>
      <c r="Q181">
        <f ca="1">IF($C181-Q$1&lt;År1,0,P180*(1-VLOOKUP($A181,[1]Hugst!$R$5:$W$9,MATCH(ROUNDUP((Q$1)/10,0)*10,[1]Hugst!$R$4:$W$4,0))))</f>
        <v>90.870486446276232</v>
      </c>
      <c r="R181">
        <f ca="1">IF($C181-R$1&lt;År1,0,Q180*(1-VLOOKUP($A181,[1]Hugst!$R$5:$W$9,MATCH(ROUNDUP((R$1)/10,0)*10,[1]Hugst!$R$4:$W$4,0))))</f>
        <v>91.02037570477313</v>
      </c>
      <c r="S181">
        <f ca="1">IF($C181-S$1&lt;År1,0,R180*(1-VLOOKUP($A181,[1]Hugst!$R$5:$W$9,MATCH(ROUNDUP((S$1)/10,0)*10,[1]Hugst!$R$4:$W$4,0))))</f>
        <v>91.171018175622692</v>
      </c>
      <c r="T181">
        <f ca="1">IF($C181-T$1&lt;År1,0,S180*(1-VLOOKUP($A181,[1]Hugst!$R$5:$W$9,MATCH(ROUNDUP((T$1)/10,0)*10,[1]Hugst!$R$4:$W$4,0))))</f>
        <v>69.125136187275132</v>
      </c>
      <c r="U181">
        <f ca="1">IF($C181-U$1&lt;År1,0,T180*(1-VLOOKUP($A181,[1]Hugst!$R$5:$W$9,MATCH(ROUNDUP((U$1)/10,0)*10,[1]Hugst!$R$4:$W$4,0))))</f>
        <v>69.277296456813701</v>
      </c>
      <c r="V181">
        <f ca="1">IF($C181-V$1&lt;År1,0,U180*(1-VLOOKUP($A181,[1]Hugst!$R$5:$W$9,MATCH(ROUNDUP((V$1)/10,0)*10,[1]Hugst!$R$4:$W$4,0))))</f>
        <v>69.430221350823388</v>
      </c>
      <c r="W181">
        <f ca="1">IF($C181-W$1&lt;År1,0,V180*(1-VLOOKUP($A181,[1]Hugst!$R$5:$W$9,MATCH(ROUNDUP((W$1)/10,0)*10,[1]Hugst!$R$4:$W$4,0))))</f>
        <v>69.583914711636112</v>
      </c>
      <c r="X181">
        <f ca="1">IF($C181-X$1&lt;År1,0,W180*(1-VLOOKUP($A181,[1]Hugst!$R$5:$W$9,MATCH(ROUNDUP((X$1)/10,0)*10,[1]Hugst!$R$4:$W$4,0))))</f>
        <v>69.73838040089737</v>
      </c>
      <c r="Y181">
        <f ca="1">IF($C181-Y$1&lt;År1,0,X180*(1-VLOOKUP($A181,[1]Hugst!$R$5:$W$9,MATCH(ROUNDUP((Y$1)/10,0)*10,[1]Hugst!$R$4:$W$4,0))))</f>
        <v>69.893622299649508</v>
      </c>
      <c r="Z181">
        <f ca="1">IF($C181-Z$1&lt;År1,0,Y180*(1-VLOOKUP($A181,[1]Hugst!$R$5:$W$9,MATCH(ROUNDUP((Z$1)/10,0)*10,[1]Hugst!$R$4:$W$4,0))))</f>
        <v>70.049644308447569</v>
      </c>
      <c r="AA181">
        <f ca="1">IF($C181-AA$1&lt;År1,0,Z180*(1-VLOOKUP($A181,[1]Hugst!$R$5:$W$9,MATCH(ROUNDUP((AA$1)/10,0)*10,[1]Hugst!$R$4:$W$4,0))))</f>
        <v>70.206450347439187</v>
      </c>
      <c r="AB181">
        <f ca="1">IF($C181-AB$1&lt;År1,0,AA180*(1-VLOOKUP($A181,[1]Hugst!$R$5:$W$9,MATCH(ROUNDUP((AB$1)/10,0)*10,[1]Hugst!$R$4:$W$4,0))))</f>
        <v>70.364044356477635</v>
      </c>
      <c r="AC181">
        <f ca="1">IF($C181-AC$1&lt;År1,0,AB180*(1-VLOOKUP($A181,[1]Hugst!$R$5:$W$9,MATCH(ROUNDUP((AC$1)/10,0)*10,[1]Hugst!$R$4:$W$4,0))))</f>
        <v>70.522430295208849</v>
      </c>
      <c r="AD181">
        <f ca="1">IF($C181-AD$1&lt;År1,0,AC180*(1-VLOOKUP($A181,[1]Hugst!$R$5:$W$9,MATCH(ROUNDUP((AD$1)/10,0)*10,[1]Hugst!$R$4:$W$4,0))))</f>
        <v>70.681612143180047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89.12921372351974</v>
      </c>
      <c r="G182">
        <f ca="1">IF($C182-G$1&lt;År1,0,F181*(1-VLOOKUP($A182,[1]Hugst!$R$5:$W$9,MATCH(ROUNDUP((G$1)/10,0)*10,[1]Hugst!$R$4:$W$4,0))))</f>
        <v>89.27035286783115</v>
      </c>
      <c r="H182">
        <f ca="1">IF($C182-H$1&lt;År1,0,G181*(1-VLOOKUP($A182,[1]Hugst!$R$5:$W$9,MATCH(ROUNDUP((H$1)/10,0)*10,[1]Hugst!$R$4:$W$4,0))))</f>
        <v>89.41220125407466</v>
      </c>
      <c r="I182">
        <f ca="1">IF($C182-I$1&lt;År1,0,H181*(1-VLOOKUP($A182,[1]Hugst!$R$5:$W$9,MATCH(ROUNDUP((I$1)/10,0)*10,[1]Hugst!$R$4:$W$4,0))))</f>
        <v>89.554762446278403</v>
      </c>
      <c r="J182">
        <f ca="1">IF($C182-J$1&lt;År1,0,I181*(1-VLOOKUP($A182,[1]Hugst!$R$5:$W$9,MATCH(ROUNDUP((J$1)/10,0)*10,[1]Hugst!$R$4:$W$4,0))))</f>
        <v>89.698040026383126</v>
      </c>
      <c r="K182">
        <f ca="1">IF($C182-K$1&lt;År1,0,J181*(1-VLOOKUP($A182,[1]Hugst!$R$5:$W$9,MATCH(ROUNDUP((K$1)/10,0)*10,[1]Hugst!$R$4:$W$4,0))))</f>
        <v>89.842037594326996</v>
      </c>
      <c r="L182">
        <f ca="1">IF($C182-L$1&lt;År1,0,K181*(1-VLOOKUP($A182,[1]Hugst!$R$5:$W$9,MATCH(ROUNDUP((L$1)/10,0)*10,[1]Hugst!$R$4:$W$4,0))))</f>
        <v>89.98675876813985</v>
      </c>
      <c r="M182">
        <f ca="1">IF($C182-M$1&lt;År1,0,L181*(1-VLOOKUP($A182,[1]Hugst!$R$5:$W$9,MATCH(ROUNDUP((M$1)/10,0)*10,[1]Hugst!$R$4:$W$4,0))))</f>
        <v>90.132207184033689</v>
      </c>
      <c r="N182">
        <f ca="1">IF($C182-N$1&lt;År1,0,M181*(1-VLOOKUP($A182,[1]Hugst!$R$5:$W$9,MATCH(ROUNDUP((N$1)/10,0)*10,[1]Hugst!$R$4:$W$4,0))))</f>
        <v>90.278386496488167</v>
      </c>
      <c r="O182">
        <f ca="1">IF($C182-O$1&lt;År1,0,N181*(1-VLOOKUP($A182,[1]Hugst!$R$5:$W$9,MATCH(ROUNDUP((O$1)/10,0)*10,[1]Hugst!$R$4:$W$4,0))))</f>
        <v>90.425300378352233</v>
      </c>
      <c r="P182">
        <f ca="1">IF($C182-P$1&lt;År1,0,O181*(1-VLOOKUP($A182,[1]Hugst!$R$5:$W$9,MATCH(ROUNDUP((P$1)/10,0)*10,[1]Hugst!$R$4:$W$4,0))))</f>
        <v>90.572952520930073</v>
      </c>
      <c r="Q182">
        <f ca="1">IF($C182-Q$1&lt;År1,0,P181*(1-VLOOKUP($A182,[1]Hugst!$R$5:$W$9,MATCH(ROUNDUP((Q$1)/10,0)*10,[1]Hugst!$R$4:$W$4,0))))</f>
        <v>90.721346634072461</v>
      </c>
      <c r="R182">
        <f ca="1">IF($C182-R$1&lt;År1,0,Q181*(1-VLOOKUP($A182,[1]Hugst!$R$5:$W$9,MATCH(ROUNDUP((R$1)/10,0)*10,[1]Hugst!$R$4:$W$4,0))))</f>
        <v>90.870486446276232</v>
      </c>
      <c r="S182">
        <f ca="1">IF($C182-S$1&lt;År1,0,R181*(1-VLOOKUP($A182,[1]Hugst!$R$5:$W$9,MATCH(ROUNDUP((S$1)/10,0)*10,[1]Hugst!$R$4:$W$4,0))))</f>
        <v>91.02037570477313</v>
      </c>
      <c r="T182">
        <f ca="1">IF($C182-T$1&lt;År1,0,S181*(1-VLOOKUP($A182,[1]Hugst!$R$5:$W$9,MATCH(ROUNDUP((T$1)/10,0)*10,[1]Hugst!$R$4:$W$4,0))))</f>
        <v>91.171018175622692</v>
      </c>
      <c r="U182">
        <f ca="1">IF($C182-U$1&lt;År1,0,T181*(1-VLOOKUP($A182,[1]Hugst!$R$5:$W$9,MATCH(ROUNDUP((U$1)/10,0)*10,[1]Hugst!$R$4:$W$4,0))))</f>
        <v>69.125136187275132</v>
      </c>
      <c r="V182">
        <f ca="1">IF($C182-V$1&lt;År1,0,U181*(1-VLOOKUP($A182,[1]Hugst!$R$5:$W$9,MATCH(ROUNDUP((V$1)/10,0)*10,[1]Hugst!$R$4:$W$4,0))))</f>
        <v>69.277296456813701</v>
      </c>
      <c r="W182">
        <f ca="1">IF($C182-W$1&lt;År1,0,V181*(1-VLOOKUP($A182,[1]Hugst!$R$5:$W$9,MATCH(ROUNDUP((W$1)/10,0)*10,[1]Hugst!$R$4:$W$4,0))))</f>
        <v>69.430221350823388</v>
      </c>
      <c r="X182">
        <f ca="1">IF($C182-X$1&lt;År1,0,W181*(1-VLOOKUP($A182,[1]Hugst!$R$5:$W$9,MATCH(ROUNDUP((X$1)/10,0)*10,[1]Hugst!$R$4:$W$4,0))))</f>
        <v>69.583914711636112</v>
      </c>
      <c r="Y182">
        <f ca="1">IF($C182-Y$1&lt;År1,0,X181*(1-VLOOKUP($A182,[1]Hugst!$R$5:$W$9,MATCH(ROUNDUP((Y$1)/10,0)*10,[1]Hugst!$R$4:$W$4,0))))</f>
        <v>69.73838040089737</v>
      </c>
      <c r="Z182">
        <f ca="1">IF($C182-Z$1&lt;År1,0,Y181*(1-VLOOKUP($A182,[1]Hugst!$R$5:$W$9,MATCH(ROUNDUP((Z$1)/10,0)*10,[1]Hugst!$R$4:$W$4,0))))</f>
        <v>69.893622299649508</v>
      </c>
      <c r="AA182">
        <f ca="1">IF($C182-AA$1&lt;År1,0,Z181*(1-VLOOKUP($A182,[1]Hugst!$R$5:$W$9,MATCH(ROUNDUP((AA$1)/10,0)*10,[1]Hugst!$R$4:$W$4,0))))</f>
        <v>70.049644308447569</v>
      </c>
      <c r="AB182">
        <f ca="1">IF($C182-AB$1&lt;År1,0,AA181*(1-VLOOKUP($A182,[1]Hugst!$R$5:$W$9,MATCH(ROUNDUP((AB$1)/10,0)*10,[1]Hugst!$R$4:$W$4,0))))</f>
        <v>70.206450347439187</v>
      </c>
      <c r="AC182">
        <f ca="1">IF($C182-AC$1&lt;År1,0,AB181*(1-VLOOKUP($A182,[1]Hugst!$R$5:$W$9,MATCH(ROUNDUP((AC$1)/10,0)*10,[1]Hugst!$R$4:$W$4,0))))</f>
        <v>70.364044356477635</v>
      </c>
      <c r="AD182">
        <f ca="1">IF($C182-AD$1&lt;År1,0,AC181*(1-VLOOKUP($A182,[1]Hugst!$R$5:$W$9,MATCH(ROUNDUP((AD$1)/10,0)*10,[1]Hugst!$R$4:$W$4,0))))</f>
        <v>70.522430295208849</v>
      </c>
      <c r="AE182">
        <f ca="1">IF($C182-AE$1&lt;År1,0,AD181*(1-VLOOKUP($A182,[1]Hugst!$R$5:$W$9,MATCH(ROUNDUP((AE$1)/10,0)*10,[1]Hugst!$R$4:$W$4,0))))</f>
        <v>70.681612143180047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88.988780274930321</v>
      </c>
      <c r="G183">
        <f ca="1">IF($C183-G$1&lt;År1,0,F182*(1-VLOOKUP($A183,[1]Hugst!$R$5:$W$9,MATCH(ROUNDUP((G$1)/10,0)*10,[1]Hugst!$R$4:$W$4,0))))</f>
        <v>89.12921372351974</v>
      </c>
      <c r="H183">
        <f ca="1">IF($C183-H$1&lt;År1,0,G182*(1-VLOOKUP($A183,[1]Hugst!$R$5:$W$9,MATCH(ROUNDUP((H$1)/10,0)*10,[1]Hugst!$R$4:$W$4,0))))</f>
        <v>89.27035286783115</v>
      </c>
      <c r="I183">
        <f ca="1">IF($C183-I$1&lt;År1,0,H182*(1-VLOOKUP($A183,[1]Hugst!$R$5:$W$9,MATCH(ROUNDUP((I$1)/10,0)*10,[1]Hugst!$R$4:$W$4,0))))</f>
        <v>89.41220125407466</v>
      </c>
      <c r="J183">
        <f ca="1">IF($C183-J$1&lt;År1,0,I182*(1-VLOOKUP($A183,[1]Hugst!$R$5:$W$9,MATCH(ROUNDUP((J$1)/10,0)*10,[1]Hugst!$R$4:$W$4,0))))</f>
        <v>89.554762446278403</v>
      </c>
      <c r="K183">
        <f ca="1">IF($C183-K$1&lt;År1,0,J182*(1-VLOOKUP($A183,[1]Hugst!$R$5:$W$9,MATCH(ROUNDUP((K$1)/10,0)*10,[1]Hugst!$R$4:$W$4,0))))</f>
        <v>89.698040026383126</v>
      </c>
      <c r="L183">
        <f ca="1">IF($C183-L$1&lt;År1,0,K182*(1-VLOOKUP($A183,[1]Hugst!$R$5:$W$9,MATCH(ROUNDUP((L$1)/10,0)*10,[1]Hugst!$R$4:$W$4,0))))</f>
        <v>89.842037594326996</v>
      </c>
      <c r="M183">
        <f ca="1">IF($C183-M$1&lt;År1,0,L182*(1-VLOOKUP($A183,[1]Hugst!$R$5:$W$9,MATCH(ROUNDUP((M$1)/10,0)*10,[1]Hugst!$R$4:$W$4,0))))</f>
        <v>89.98675876813985</v>
      </c>
      <c r="N183">
        <f ca="1">IF($C183-N$1&lt;År1,0,M182*(1-VLOOKUP($A183,[1]Hugst!$R$5:$W$9,MATCH(ROUNDUP((N$1)/10,0)*10,[1]Hugst!$R$4:$W$4,0))))</f>
        <v>90.132207184033689</v>
      </c>
      <c r="O183">
        <f ca="1">IF($C183-O$1&lt;År1,0,N182*(1-VLOOKUP($A183,[1]Hugst!$R$5:$W$9,MATCH(ROUNDUP((O$1)/10,0)*10,[1]Hugst!$R$4:$W$4,0))))</f>
        <v>90.278386496488167</v>
      </c>
      <c r="P183">
        <f ca="1">IF($C183-P$1&lt;År1,0,O182*(1-VLOOKUP($A183,[1]Hugst!$R$5:$W$9,MATCH(ROUNDUP((P$1)/10,0)*10,[1]Hugst!$R$4:$W$4,0))))</f>
        <v>90.425300378352233</v>
      </c>
      <c r="Q183">
        <f ca="1">IF($C183-Q$1&lt;År1,0,P182*(1-VLOOKUP($A183,[1]Hugst!$R$5:$W$9,MATCH(ROUNDUP((Q$1)/10,0)*10,[1]Hugst!$R$4:$W$4,0))))</f>
        <v>90.572952520930073</v>
      </c>
      <c r="R183">
        <f ca="1">IF($C183-R$1&lt;År1,0,Q182*(1-VLOOKUP($A183,[1]Hugst!$R$5:$W$9,MATCH(ROUNDUP((R$1)/10,0)*10,[1]Hugst!$R$4:$W$4,0))))</f>
        <v>90.721346634072461</v>
      </c>
      <c r="S183">
        <f ca="1">IF($C183-S$1&lt;År1,0,R182*(1-VLOOKUP($A183,[1]Hugst!$R$5:$W$9,MATCH(ROUNDUP((S$1)/10,0)*10,[1]Hugst!$R$4:$W$4,0))))</f>
        <v>90.870486446276232</v>
      </c>
      <c r="T183">
        <f ca="1">IF($C183-T$1&lt;År1,0,S182*(1-VLOOKUP($A183,[1]Hugst!$R$5:$W$9,MATCH(ROUNDUP((T$1)/10,0)*10,[1]Hugst!$R$4:$W$4,0))))</f>
        <v>91.02037570477313</v>
      </c>
      <c r="U183">
        <f ca="1">IF($C183-U$1&lt;År1,0,T182*(1-VLOOKUP($A183,[1]Hugst!$R$5:$W$9,MATCH(ROUNDUP((U$1)/10,0)*10,[1]Hugst!$R$4:$W$4,0))))</f>
        <v>91.171018175622692</v>
      </c>
      <c r="V183">
        <f ca="1">IF($C183-V$1&lt;År1,0,U182*(1-VLOOKUP($A183,[1]Hugst!$R$5:$W$9,MATCH(ROUNDUP((V$1)/10,0)*10,[1]Hugst!$R$4:$W$4,0))))</f>
        <v>69.125136187275132</v>
      </c>
      <c r="W183">
        <f ca="1">IF($C183-W$1&lt;År1,0,V182*(1-VLOOKUP($A183,[1]Hugst!$R$5:$W$9,MATCH(ROUNDUP((W$1)/10,0)*10,[1]Hugst!$R$4:$W$4,0))))</f>
        <v>69.277296456813701</v>
      </c>
      <c r="X183">
        <f ca="1">IF($C183-X$1&lt;År1,0,W182*(1-VLOOKUP($A183,[1]Hugst!$R$5:$W$9,MATCH(ROUNDUP((X$1)/10,0)*10,[1]Hugst!$R$4:$W$4,0))))</f>
        <v>69.430221350823388</v>
      </c>
      <c r="Y183">
        <f ca="1">IF($C183-Y$1&lt;År1,0,X182*(1-VLOOKUP($A183,[1]Hugst!$R$5:$W$9,MATCH(ROUNDUP((Y$1)/10,0)*10,[1]Hugst!$R$4:$W$4,0))))</f>
        <v>69.583914711636112</v>
      </c>
      <c r="Z183">
        <f ca="1">IF($C183-Z$1&lt;År1,0,Y182*(1-VLOOKUP($A183,[1]Hugst!$R$5:$W$9,MATCH(ROUNDUP((Z$1)/10,0)*10,[1]Hugst!$R$4:$W$4,0))))</f>
        <v>69.73838040089737</v>
      </c>
      <c r="AA183">
        <f ca="1">IF($C183-AA$1&lt;År1,0,Z182*(1-VLOOKUP($A183,[1]Hugst!$R$5:$W$9,MATCH(ROUNDUP((AA$1)/10,0)*10,[1]Hugst!$R$4:$W$4,0))))</f>
        <v>69.893622299649508</v>
      </c>
      <c r="AB183">
        <f ca="1">IF($C183-AB$1&lt;År1,0,AA182*(1-VLOOKUP($A183,[1]Hugst!$R$5:$W$9,MATCH(ROUNDUP((AB$1)/10,0)*10,[1]Hugst!$R$4:$W$4,0))))</f>
        <v>70.049644308447569</v>
      </c>
      <c r="AC183">
        <f ca="1">IF($C183-AC$1&lt;År1,0,AB182*(1-VLOOKUP($A183,[1]Hugst!$R$5:$W$9,MATCH(ROUNDUP((AC$1)/10,0)*10,[1]Hugst!$R$4:$W$4,0))))</f>
        <v>70.206450347439187</v>
      </c>
      <c r="AD183">
        <f ca="1">IF($C183-AD$1&lt;År1,0,AC182*(1-VLOOKUP($A183,[1]Hugst!$R$5:$W$9,MATCH(ROUNDUP((AD$1)/10,0)*10,[1]Hugst!$R$4:$W$4,0))))</f>
        <v>70.364044356477635</v>
      </c>
      <c r="AE183">
        <f ca="1">IF($C183-AE$1&lt;År1,0,AD182*(1-VLOOKUP($A183,[1]Hugst!$R$5:$W$9,MATCH(ROUNDUP((AE$1)/10,0)*10,[1]Hugst!$R$4:$W$4,0))))</f>
        <v>70.522430295208849</v>
      </c>
      <c r="AF183">
        <f ca="1">IF($C183-AF$1&lt;År1,0,AE182*(1-VLOOKUP($A183,[1]Hugst!$R$5:$W$9,MATCH(ROUNDUP((AF$1)/10,0)*10,[1]Hugst!$R$4:$W$4,0))))</f>
        <v>70.681612143180047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88.849048993581221</v>
      </c>
      <c r="G184">
        <f ca="1">IF($C184-G$1&lt;År1,0,F183*(1-VLOOKUP($A184,[1]Hugst!$R$5:$W$9,MATCH(ROUNDUP((G$1)/10,0)*10,[1]Hugst!$R$4:$W$4,0))))</f>
        <v>88.988780274930321</v>
      </c>
      <c r="H184">
        <f ca="1">IF($C184-H$1&lt;År1,0,G183*(1-VLOOKUP($A184,[1]Hugst!$R$5:$W$9,MATCH(ROUNDUP((H$1)/10,0)*10,[1]Hugst!$R$4:$W$4,0))))</f>
        <v>89.12921372351974</v>
      </c>
      <c r="I184">
        <f ca="1">IF($C184-I$1&lt;År1,0,H183*(1-VLOOKUP($A184,[1]Hugst!$R$5:$W$9,MATCH(ROUNDUP((I$1)/10,0)*10,[1]Hugst!$R$4:$W$4,0))))</f>
        <v>89.27035286783115</v>
      </c>
      <c r="J184">
        <f ca="1">IF($C184-J$1&lt;År1,0,I183*(1-VLOOKUP($A184,[1]Hugst!$R$5:$W$9,MATCH(ROUNDUP((J$1)/10,0)*10,[1]Hugst!$R$4:$W$4,0))))</f>
        <v>89.41220125407466</v>
      </c>
      <c r="K184">
        <f ca="1">IF($C184-K$1&lt;År1,0,J183*(1-VLOOKUP($A184,[1]Hugst!$R$5:$W$9,MATCH(ROUNDUP((K$1)/10,0)*10,[1]Hugst!$R$4:$W$4,0))))</f>
        <v>89.554762446278403</v>
      </c>
      <c r="L184">
        <f ca="1">IF($C184-L$1&lt;År1,0,K183*(1-VLOOKUP($A184,[1]Hugst!$R$5:$W$9,MATCH(ROUNDUP((L$1)/10,0)*10,[1]Hugst!$R$4:$W$4,0))))</f>
        <v>89.698040026383126</v>
      </c>
      <c r="M184">
        <f ca="1">IF($C184-M$1&lt;År1,0,L183*(1-VLOOKUP($A184,[1]Hugst!$R$5:$W$9,MATCH(ROUNDUP((M$1)/10,0)*10,[1]Hugst!$R$4:$W$4,0))))</f>
        <v>89.842037594326996</v>
      </c>
      <c r="N184">
        <f ca="1">IF($C184-N$1&lt;År1,0,M183*(1-VLOOKUP($A184,[1]Hugst!$R$5:$W$9,MATCH(ROUNDUP((N$1)/10,0)*10,[1]Hugst!$R$4:$W$4,0))))</f>
        <v>89.98675876813985</v>
      </c>
      <c r="O184">
        <f ca="1">IF($C184-O$1&lt;År1,0,N183*(1-VLOOKUP($A184,[1]Hugst!$R$5:$W$9,MATCH(ROUNDUP((O$1)/10,0)*10,[1]Hugst!$R$4:$W$4,0))))</f>
        <v>90.132207184033689</v>
      </c>
      <c r="P184">
        <f ca="1">IF($C184-P$1&lt;År1,0,O183*(1-VLOOKUP($A184,[1]Hugst!$R$5:$W$9,MATCH(ROUNDUP((P$1)/10,0)*10,[1]Hugst!$R$4:$W$4,0))))</f>
        <v>90.278386496488167</v>
      </c>
      <c r="Q184">
        <f ca="1">IF($C184-Q$1&lt;År1,0,P183*(1-VLOOKUP($A184,[1]Hugst!$R$5:$W$9,MATCH(ROUNDUP((Q$1)/10,0)*10,[1]Hugst!$R$4:$W$4,0))))</f>
        <v>90.425300378352233</v>
      </c>
      <c r="R184">
        <f ca="1">IF($C184-R$1&lt;År1,0,Q183*(1-VLOOKUP($A184,[1]Hugst!$R$5:$W$9,MATCH(ROUNDUP((R$1)/10,0)*10,[1]Hugst!$R$4:$W$4,0))))</f>
        <v>90.572952520930073</v>
      </c>
      <c r="S184">
        <f ca="1">IF($C184-S$1&lt;År1,0,R183*(1-VLOOKUP($A184,[1]Hugst!$R$5:$W$9,MATCH(ROUNDUP((S$1)/10,0)*10,[1]Hugst!$R$4:$W$4,0))))</f>
        <v>90.721346634072461</v>
      </c>
      <c r="T184">
        <f ca="1">IF($C184-T$1&lt;År1,0,S183*(1-VLOOKUP($A184,[1]Hugst!$R$5:$W$9,MATCH(ROUNDUP((T$1)/10,0)*10,[1]Hugst!$R$4:$W$4,0))))</f>
        <v>90.870486446276232</v>
      </c>
      <c r="U184">
        <f ca="1">IF($C184-U$1&lt;År1,0,T183*(1-VLOOKUP($A184,[1]Hugst!$R$5:$W$9,MATCH(ROUNDUP((U$1)/10,0)*10,[1]Hugst!$R$4:$W$4,0))))</f>
        <v>91.02037570477313</v>
      </c>
      <c r="V184">
        <f ca="1">IF($C184-V$1&lt;År1,0,U183*(1-VLOOKUP($A184,[1]Hugst!$R$5:$W$9,MATCH(ROUNDUP((V$1)/10,0)*10,[1]Hugst!$R$4:$W$4,0))))</f>
        <v>91.171018175622692</v>
      </c>
      <c r="W184">
        <f ca="1">IF($C184-W$1&lt;År1,0,V183*(1-VLOOKUP($A184,[1]Hugst!$R$5:$W$9,MATCH(ROUNDUP((W$1)/10,0)*10,[1]Hugst!$R$4:$W$4,0))))</f>
        <v>69.125136187275132</v>
      </c>
      <c r="X184">
        <f ca="1">IF($C184-X$1&lt;År1,0,W183*(1-VLOOKUP($A184,[1]Hugst!$R$5:$W$9,MATCH(ROUNDUP((X$1)/10,0)*10,[1]Hugst!$R$4:$W$4,0))))</f>
        <v>69.277296456813701</v>
      </c>
      <c r="Y184">
        <f ca="1">IF($C184-Y$1&lt;År1,0,X183*(1-VLOOKUP($A184,[1]Hugst!$R$5:$W$9,MATCH(ROUNDUP((Y$1)/10,0)*10,[1]Hugst!$R$4:$W$4,0))))</f>
        <v>69.430221350823388</v>
      </c>
      <c r="Z184">
        <f ca="1">IF($C184-Z$1&lt;År1,0,Y183*(1-VLOOKUP($A184,[1]Hugst!$R$5:$W$9,MATCH(ROUNDUP((Z$1)/10,0)*10,[1]Hugst!$R$4:$W$4,0))))</f>
        <v>69.583914711636112</v>
      </c>
      <c r="AA184">
        <f ca="1">IF($C184-AA$1&lt;År1,0,Z183*(1-VLOOKUP($A184,[1]Hugst!$R$5:$W$9,MATCH(ROUNDUP((AA$1)/10,0)*10,[1]Hugst!$R$4:$W$4,0))))</f>
        <v>69.73838040089737</v>
      </c>
      <c r="AB184">
        <f ca="1">IF($C184-AB$1&lt;År1,0,AA183*(1-VLOOKUP($A184,[1]Hugst!$R$5:$W$9,MATCH(ROUNDUP((AB$1)/10,0)*10,[1]Hugst!$R$4:$W$4,0))))</f>
        <v>69.893622299649508</v>
      </c>
      <c r="AC184">
        <f ca="1">IF($C184-AC$1&lt;År1,0,AB183*(1-VLOOKUP($A184,[1]Hugst!$R$5:$W$9,MATCH(ROUNDUP((AC$1)/10,0)*10,[1]Hugst!$R$4:$W$4,0))))</f>
        <v>70.049644308447569</v>
      </c>
      <c r="AD184">
        <f ca="1">IF($C184-AD$1&lt;År1,0,AC183*(1-VLOOKUP($A184,[1]Hugst!$R$5:$W$9,MATCH(ROUNDUP((AD$1)/10,0)*10,[1]Hugst!$R$4:$W$4,0))))</f>
        <v>70.206450347439187</v>
      </c>
      <c r="AE184">
        <f ca="1">IF($C184-AE$1&lt;År1,0,AD183*(1-VLOOKUP($A184,[1]Hugst!$R$5:$W$9,MATCH(ROUNDUP((AE$1)/10,0)*10,[1]Hugst!$R$4:$W$4,0))))</f>
        <v>70.364044356477635</v>
      </c>
      <c r="AF184">
        <f ca="1">IF($C184-AF$1&lt;År1,0,AE183*(1-VLOOKUP($A184,[1]Hugst!$R$5:$W$9,MATCH(ROUNDUP((AF$1)/10,0)*10,[1]Hugst!$R$4:$W$4,0))))</f>
        <v>70.522430295208849</v>
      </c>
      <c r="AG184">
        <f ca="1">IF($C184-AG$1&lt;År1,0,AF183*(1-VLOOKUP($A184,[1]Hugst!$R$5:$W$9,MATCH(ROUNDUP((AG$1)/10,0)*10,[1]Hugst!$R$4:$W$4,0))))</f>
        <v>70.681612143180047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88.710016368641448</v>
      </c>
      <c r="G185">
        <f ca="1">IF($C185-G$1&lt;År1,0,F184*(1-VLOOKUP($A185,[1]Hugst!$R$5:$W$9,MATCH(ROUNDUP((G$1)/10,0)*10,[1]Hugst!$R$4:$W$4,0))))</f>
        <v>88.849048993581221</v>
      </c>
      <c r="H185">
        <f ca="1">IF($C185-H$1&lt;År1,0,G184*(1-VLOOKUP($A185,[1]Hugst!$R$5:$W$9,MATCH(ROUNDUP((H$1)/10,0)*10,[1]Hugst!$R$4:$W$4,0))))</f>
        <v>88.988780274930321</v>
      </c>
      <c r="I185">
        <f ca="1">IF($C185-I$1&lt;År1,0,H184*(1-VLOOKUP($A185,[1]Hugst!$R$5:$W$9,MATCH(ROUNDUP((I$1)/10,0)*10,[1]Hugst!$R$4:$W$4,0))))</f>
        <v>89.12921372351974</v>
      </c>
      <c r="J185">
        <f ca="1">IF($C185-J$1&lt;År1,0,I184*(1-VLOOKUP($A185,[1]Hugst!$R$5:$W$9,MATCH(ROUNDUP((J$1)/10,0)*10,[1]Hugst!$R$4:$W$4,0))))</f>
        <v>89.27035286783115</v>
      </c>
      <c r="K185">
        <f ca="1">IF($C185-K$1&lt;År1,0,J184*(1-VLOOKUP($A185,[1]Hugst!$R$5:$W$9,MATCH(ROUNDUP((K$1)/10,0)*10,[1]Hugst!$R$4:$W$4,0))))</f>
        <v>89.41220125407466</v>
      </c>
      <c r="L185">
        <f ca="1">IF($C185-L$1&lt;År1,0,K184*(1-VLOOKUP($A185,[1]Hugst!$R$5:$W$9,MATCH(ROUNDUP((L$1)/10,0)*10,[1]Hugst!$R$4:$W$4,0))))</f>
        <v>89.554762446278403</v>
      </c>
      <c r="M185">
        <f ca="1">IF($C185-M$1&lt;År1,0,L184*(1-VLOOKUP($A185,[1]Hugst!$R$5:$W$9,MATCH(ROUNDUP((M$1)/10,0)*10,[1]Hugst!$R$4:$W$4,0))))</f>
        <v>89.698040026383126</v>
      </c>
      <c r="N185">
        <f ca="1">IF($C185-N$1&lt;År1,0,M184*(1-VLOOKUP($A185,[1]Hugst!$R$5:$W$9,MATCH(ROUNDUP((N$1)/10,0)*10,[1]Hugst!$R$4:$W$4,0))))</f>
        <v>89.842037594326996</v>
      </c>
      <c r="O185">
        <f ca="1">IF($C185-O$1&lt;År1,0,N184*(1-VLOOKUP($A185,[1]Hugst!$R$5:$W$9,MATCH(ROUNDUP((O$1)/10,0)*10,[1]Hugst!$R$4:$W$4,0))))</f>
        <v>89.98675876813985</v>
      </c>
      <c r="P185">
        <f ca="1">IF($C185-P$1&lt;År1,0,O184*(1-VLOOKUP($A185,[1]Hugst!$R$5:$W$9,MATCH(ROUNDUP((P$1)/10,0)*10,[1]Hugst!$R$4:$W$4,0))))</f>
        <v>90.132207184033689</v>
      </c>
      <c r="Q185">
        <f ca="1">IF($C185-Q$1&lt;År1,0,P184*(1-VLOOKUP($A185,[1]Hugst!$R$5:$W$9,MATCH(ROUNDUP((Q$1)/10,0)*10,[1]Hugst!$R$4:$W$4,0))))</f>
        <v>90.278386496488167</v>
      </c>
      <c r="R185">
        <f ca="1">IF($C185-R$1&lt;År1,0,Q184*(1-VLOOKUP($A185,[1]Hugst!$R$5:$W$9,MATCH(ROUNDUP((R$1)/10,0)*10,[1]Hugst!$R$4:$W$4,0))))</f>
        <v>90.425300378352233</v>
      </c>
      <c r="S185">
        <f ca="1">IF($C185-S$1&lt;År1,0,R184*(1-VLOOKUP($A185,[1]Hugst!$R$5:$W$9,MATCH(ROUNDUP((S$1)/10,0)*10,[1]Hugst!$R$4:$W$4,0))))</f>
        <v>90.572952520930073</v>
      </c>
      <c r="T185">
        <f ca="1">IF($C185-T$1&lt;År1,0,S184*(1-VLOOKUP($A185,[1]Hugst!$R$5:$W$9,MATCH(ROUNDUP((T$1)/10,0)*10,[1]Hugst!$R$4:$W$4,0))))</f>
        <v>90.721346634072461</v>
      </c>
      <c r="U185">
        <f ca="1">IF($C185-U$1&lt;År1,0,T184*(1-VLOOKUP($A185,[1]Hugst!$R$5:$W$9,MATCH(ROUNDUP((U$1)/10,0)*10,[1]Hugst!$R$4:$W$4,0))))</f>
        <v>90.870486446276232</v>
      </c>
      <c r="V185">
        <f ca="1">IF($C185-V$1&lt;År1,0,U184*(1-VLOOKUP($A185,[1]Hugst!$R$5:$W$9,MATCH(ROUNDUP((V$1)/10,0)*10,[1]Hugst!$R$4:$W$4,0))))</f>
        <v>91.02037570477313</v>
      </c>
      <c r="W185">
        <f ca="1">IF($C185-W$1&lt;År1,0,V184*(1-VLOOKUP($A185,[1]Hugst!$R$5:$W$9,MATCH(ROUNDUP((W$1)/10,0)*10,[1]Hugst!$R$4:$W$4,0))))</f>
        <v>91.171018175622692</v>
      </c>
      <c r="X185">
        <f ca="1">IF($C185-X$1&lt;År1,0,W184*(1-VLOOKUP($A185,[1]Hugst!$R$5:$W$9,MATCH(ROUNDUP((X$1)/10,0)*10,[1]Hugst!$R$4:$W$4,0))))</f>
        <v>69.125136187275132</v>
      </c>
      <c r="Y185">
        <f ca="1">IF($C185-Y$1&lt;År1,0,X184*(1-VLOOKUP($A185,[1]Hugst!$R$5:$W$9,MATCH(ROUNDUP((Y$1)/10,0)*10,[1]Hugst!$R$4:$W$4,0))))</f>
        <v>69.277296456813701</v>
      </c>
      <c r="Z185">
        <f ca="1">IF($C185-Z$1&lt;År1,0,Y184*(1-VLOOKUP($A185,[1]Hugst!$R$5:$W$9,MATCH(ROUNDUP((Z$1)/10,0)*10,[1]Hugst!$R$4:$W$4,0))))</f>
        <v>69.430221350823388</v>
      </c>
      <c r="AA185">
        <f ca="1">IF($C185-AA$1&lt;År1,0,Z184*(1-VLOOKUP($A185,[1]Hugst!$R$5:$W$9,MATCH(ROUNDUP((AA$1)/10,0)*10,[1]Hugst!$R$4:$W$4,0))))</f>
        <v>69.583914711636112</v>
      </c>
      <c r="AB185">
        <f ca="1">IF($C185-AB$1&lt;År1,0,AA184*(1-VLOOKUP($A185,[1]Hugst!$R$5:$W$9,MATCH(ROUNDUP((AB$1)/10,0)*10,[1]Hugst!$R$4:$W$4,0))))</f>
        <v>69.73838040089737</v>
      </c>
      <c r="AC185">
        <f ca="1">IF($C185-AC$1&lt;År1,0,AB184*(1-VLOOKUP($A185,[1]Hugst!$R$5:$W$9,MATCH(ROUNDUP((AC$1)/10,0)*10,[1]Hugst!$R$4:$W$4,0))))</f>
        <v>69.893622299649508</v>
      </c>
      <c r="AD185">
        <f ca="1">IF($C185-AD$1&lt;År1,0,AC184*(1-VLOOKUP($A185,[1]Hugst!$R$5:$W$9,MATCH(ROUNDUP((AD$1)/10,0)*10,[1]Hugst!$R$4:$W$4,0))))</f>
        <v>70.049644308447569</v>
      </c>
      <c r="AE185">
        <f ca="1">IF($C185-AE$1&lt;År1,0,AD184*(1-VLOOKUP($A185,[1]Hugst!$R$5:$W$9,MATCH(ROUNDUP((AE$1)/10,0)*10,[1]Hugst!$R$4:$W$4,0))))</f>
        <v>70.206450347439187</v>
      </c>
      <c r="AF185">
        <f ca="1">IF($C185-AF$1&lt;År1,0,AE184*(1-VLOOKUP($A185,[1]Hugst!$R$5:$W$9,MATCH(ROUNDUP((AF$1)/10,0)*10,[1]Hugst!$R$4:$W$4,0))))</f>
        <v>70.364044356477635</v>
      </c>
      <c r="AG185">
        <f ca="1">IF($C185-AG$1&lt;År1,0,AF184*(1-VLOOKUP($A185,[1]Hugst!$R$5:$W$9,MATCH(ROUNDUP((AG$1)/10,0)*10,[1]Hugst!$R$4:$W$4,0))))</f>
        <v>70.522430295208849</v>
      </c>
      <c r="AH185">
        <f ca="1">IF($C185-AH$1&lt;År1,0,AG184*(1-VLOOKUP($A185,[1]Hugst!$R$5:$W$9,MATCH(ROUNDUP((AH$1)/10,0)*10,[1]Hugst!$R$4:$W$4,0))))</f>
        <v>70.681612143180047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88.571678906826662</v>
      </c>
      <c r="G186">
        <f ca="1">IF($C186-G$1&lt;År1,0,F185*(1-VLOOKUP($A186,[1]Hugst!$R$5:$W$9,MATCH(ROUNDUP((G$1)/10,0)*10,[1]Hugst!$R$4:$W$4,0))))</f>
        <v>88.710016368641448</v>
      </c>
      <c r="H186">
        <f ca="1">IF($C186-H$1&lt;År1,0,G185*(1-VLOOKUP($A186,[1]Hugst!$R$5:$W$9,MATCH(ROUNDUP((H$1)/10,0)*10,[1]Hugst!$R$4:$W$4,0))))</f>
        <v>88.849048993581221</v>
      </c>
      <c r="I186">
        <f ca="1">IF($C186-I$1&lt;År1,0,H185*(1-VLOOKUP($A186,[1]Hugst!$R$5:$W$9,MATCH(ROUNDUP((I$1)/10,0)*10,[1]Hugst!$R$4:$W$4,0))))</f>
        <v>88.988780274930321</v>
      </c>
      <c r="J186">
        <f ca="1">IF($C186-J$1&lt;År1,0,I185*(1-VLOOKUP($A186,[1]Hugst!$R$5:$W$9,MATCH(ROUNDUP((J$1)/10,0)*10,[1]Hugst!$R$4:$W$4,0))))</f>
        <v>89.12921372351974</v>
      </c>
      <c r="K186">
        <f ca="1">IF($C186-K$1&lt;År1,0,J185*(1-VLOOKUP($A186,[1]Hugst!$R$5:$W$9,MATCH(ROUNDUP((K$1)/10,0)*10,[1]Hugst!$R$4:$W$4,0))))</f>
        <v>89.27035286783115</v>
      </c>
      <c r="L186">
        <f ca="1">IF($C186-L$1&lt;År1,0,K185*(1-VLOOKUP($A186,[1]Hugst!$R$5:$W$9,MATCH(ROUNDUP((L$1)/10,0)*10,[1]Hugst!$R$4:$W$4,0))))</f>
        <v>89.41220125407466</v>
      </c>
      <c r="M186">
        <f ca="1">IF($C186-M$1&lt;År1,0,L185*(1-VLOOKUP($A186,[1]Hugst!$R$5:$W$9,MATCH(ROUNDUP((M$1)/10,0)*10,[1]Hugst!$R$4:$W$4,0))))</f>
        <v>89.554762446278403</v>
      </c>
      <c r="N186">
        <f ca="1">IF($C186-N$1&lt;År1,0,M185*(1-VLOOKUP($A186,[1]Hugst!$R$5:$W$9,MATCH(ROUNDUP((N$1)/10,0)*10,[1]Hugst!$R$4:$W$4,0))))</f>
        <v>89.698040026383126</v>
      </c>
      <c r="O186">
        <f ca="1">IF($C186-O$1&lt;År1,0,N185*(1-VLOOKUP($A186,[1]Hugst!$R$5:$W$9,MATCH(ROUNDUP((O$1)/10,0)*10,[1]Hugst!$R$4:$W$4,0))))</f>
        <v>89.842037594326996</v>
      </c>
      <c r="P186">
        <f ca="1">IF($C186-P$1&lt;År1,0,O185*(1-VLOOKUP($A186,[1]Hugst!$R$5:$W$9,MATCH(ROUNDUP((P$1)/10,0)*10,[1]Hugst!$R$4:$W$4,0))))</f>
        <v>89.98675876813985</v>
      </c>
      <c r="Q186">
        <f ca="1">IF($C186-Q$1&lt;År1,0,P185*(1-VLOOKUP($A186,[1]Hugst!$R$5:$W$9,MATCH(ROUNDUP((Q$1)/10,0)*10,[1]Hugst!$R$4:$W$4,0))))</f>
        <v>90.132207184033689</v>
      </c>
      <c r="R186">
        <f ca="1">IF($C186-R$1&lt;År1,0,Q185*(1-VLOOKUP($A186,[1]Hugst!$R$5:$W$9,MATCH(ROUNDUP((R$1)/10,0)*10,[1]Hugst!$R$4:$W$4,0))))</f>
        <v>90.278386496488167</v>
      </c>
      <c r="S186">
        <f ca="1">IF($C186-S$1&lt;År1,0,R185*(1-VLOOKUP($A186,[1]Hugst!$R$5:$W$9,MATCH(ROUNDUP((S$1)/10,0)*10,[1]Hugst!$R$4:$W$4,0))))</f>
        <v>90.425300378352233</v>
      </c>
      <c r="T186">
        <f ca="1">IF($C186-T$1&lt;År1,0,S185*(1-VLOOKUP($A186,[1]Hugst!$R$5:$W$9,MATCH(ROUNDUP((T$1)/10,0)*10,[1]Hugst!$R$4:$W$4,0))))</f>
        <v>90.572952520930073</v>
      </c>
      <c r="U186">
        <f ca="1">IF($C186-U$1&lt;År1,0,T185*(1-VLOOKUP($A186,[1]Hugst!$R$5:$W$9,MATCH(ROUNDUP((U$1)/10,0)*10,[1]Hugst!$R$4:$W$4,0))))</f>
        <v>90.721346634072461</v>
      </c>
      <c r="V186">
        <f ca="1">IF($C186-V$1&lt;År1,0,U185*(1-VLOOKUP($A186,[1]Hugst!$R$5:$W$9,MATCH(ROUNDUP((V$1)/10,0)*10,[1]Hugst!$R$4:$W$4,0))))</f>
        <v>90.870486446276232</v>
      </c>
      <c r="W186">
        <f ca="1">IF($C186-W$1&lt;År1,0,V185*(1-VLOOKUP($A186,[1]Hugst!$R$5:$W$9,MATCH(ROUNDUP((W$1)/10,0)*10,[1]Hugst!$R$4:$W$4,0))))</f>
        <v>91.02037570477313</v>
      </c>
      <c r="X186">
        <f ca="1">IF($C186-X$1&lt;År1,0,W185*(1-VLOOKUP($A186,[1]Hugst!$R$5:$W$9,MATCH(ROUNDUP((X$1)/10,0)*10,[1]Hugst!$R$4:$W$4,0))))</f>
        <v>91.171018175622692</v>
      </c>
      <c r="Y186">
        <f ca="1">IF($C186-Y$1&lt;År1,0,X185*(1-VLOOKUP($A186,[1]Hugst!$R$5:$W$9,MATCH(ROUNDUP((Y$1)/10,0)*10,[1]Hugst!$R$4:$W$4,0))))</f>
        <v>69.125136187275132</v>
      </c>
      <c r="Z186">
        <f ca="1">IF($C186-Z$1&lt;År1,0,Y185*(1-VLOOKUP($A186,[1]Hugst!$R$5:$W$9,MATCH(ROUNDUP((Z$1)/10,0)*10,[1]Hugst!$R$4:$W$4,0))))</f>
        <v>69.277296456813701</v>
      </c>
      <c r="AA186">
        <f ca="1">IF($C186-AA$1&lt;År1,0,Z185*(1-VLOOKUP($A186,[1]Hugst!$R$5:$W$9,MATCH(ROUNDUP((AA$1)/10,0)*10,[1]Hugst!$R$4:$W$4,0))))</f>
        <v>69.430221350823388</v>
      </c>
      <c r="AB186">
        <f ca="1">IF($C186-AB$1&lt;År1,0,AA185*(1-VLOOKUP($A186,[1]Hugst!$R$5:$W$9,MATCH(ROUNDUP((AB$1)/10,0)*10,[1]Hugst!$R$4:$W$4,0))))</f>
        <v>69.583914711636112</v>
      </c>
      <c r="AC186">
        <f ca="1">IF($C186-AC$1&lt;År1,0,AB185*(1-VLOOKUP($A186,[1]Hugst!$R$5:$W$9,MATCH(ROUNDUP((AC$1)/10,0)*10,[1]Hugst!$R$4:$W$4,0))))</f>
        <v>69.73838040089737</v>
      </c>
      <c r="AD186">
        <f ca="1">IF($C186-AD$1&lt;År1,0,AC185*(1-VLOOKUP($A186,[1]Hugst!$R$5:$W$9,MATCH(ROUNDUP((AD$1)/10,0)*10,[1]Hugst!$R$4:$W$4,0))))</f>
        <v>69.893622299649508</v>
      </c>
      <c r="AE186">
        <f ca="1">IF($C186-AE$1&lt;År1,0,AD185*(1-VLOOKUP($A186,[1]Hugst!$R$5:$W$9,MATCH(ROUNDUP((AE$1)/10,0)*10,[1]Hugst!$R$4:$W$4,0))))</f>
        <v>70.049644308447569</v>
      </c>
      <c r="AF186">
        <f ca="1">IF($C186-AF$1&lt;År1,0,AE185*(1-VLOOKUP($A186,[1]Hugst!$R$5:$W$9,MATCH(ROUNDUP((AF$1)/10,0)*10,[1]Hugst!$R$4:$W$4,0))))</f>
        <v>70.206450347439187</v>
      </c>
      <c r="AG186">
        <f ca="1">IF($C186-AG$1&lt;År1,0,AF185*(1-VLOOKUP($A186,[1]Hugst!$R$5:$W$9,MATCH(ROUNDUP((AG$1)/10,0)*10,[1]Hugst!$R$4:$W$4,0))))</f>
        <v>70.364044356477635</v>
      </c>
      <c r="AH186">
        <f ca="1">IF($C186-AH$1&lt;År1,0,AG185*(1-VLOOKUP($A186,[1]Hugst!$R$5:$W$9,MATCH(ROUNDUP((AH$1)/10,0)*10,[1]Hugst!$R$4:$W$4,0))))</f>
        <v>70.522430295208849</v>
      </c>
      <c r="AI186">
        <f ca="1">IF($C186-AI$1&lt;År1,0,AH185*(1-VLOOKUP($A186,[1]Hugst!$R$5:$W$9,MATCH(ROUNDUP((AI$1)/10,0)*10,[1]Hugst!$R$4:$W$4,0))))</f>
        <v>70.681612143180047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0.12851202207866663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88.562545154398265</v>
      </c>
      <c r="G187">
        <f ca="1">IF($C187-G$1&lt;År1,0,F186*(1-VLOOKUP($A187,[1]Hugst!$R$5:$W$9,MATCH(ROUNDUP((G$1)/10,0)*10,[1]Hugst!$R$4:$W$4,0))))</f>
        <v>88.571678906826662</v>
      </c>
      <c r="H187">
        <f ca="1">IF($C187-H$1&lt;År1,0,G186*(1-VLOOKUP($A187,[1]Hugst!$R$5:$W$9,MATCH(ROUNDUP((H$1)/10,0)*10,[1]Hugst!$R$4:$W$4,0))))</f>
        <v>88.710016368641448</v>
      </c>
      <c r="I187">
        <f ca="1">IF($C187-I$1&lt;År1,0,H186*(1-VLOOKUP($A187,[1]Hugst!$R$5:$W$9,MATCH(ROUNDUP((I$1)/10,0)*10,[1]Hugst!$R$4:$W$4,0))))</f>
        <v>88.849048993581221</v>
      </c>
      <c r="J187">
        <f ca="1">IF($C187-J$1&lt;År1,0,I186*(1-VLOOKUP($A187,[1]Hugst!$R$5:$W$9,MATCH(ROUNDUP((J$1)/10,0)*10,[1]Hugst!$R$4:$W$4,0))))</f>
        <v>88.988780274930321</v>
      </c>
      <c r="K187">
        <f ca="1">IF($C187-K$1&lt;År1,0,J186*(1-VLOOKUP($A187,[1]Hugst!$R$5:$W$9,MATCH(ROUNDUP((K$1)/10,0)*10,[1]Hugst!$R$4:$W$4,0))))</f>
        <v>89.12921372351974</v>
      </c>
      <c r="L187">
        <f ca="1">IF($C187-L$1&lt;År1,0,K186*(1-VLOOKUP($A187,[1]Hugst!$R$5:$W$9,MATCH(ROUNDUP((L$1)/10,0)*10,[1]Hugst!$R$4:$W$4,0))))</f>
        <v>89.27035286783115</v>
      </c>
      <c r="M187">
        <f ca="1">IF($C187-M$1&lt;År1,0,L186*(1-VLOOKUP($A187,[1]Hugst!$R$5:$W$9,MATCH(ROUNDUP((M$1)/10,0)*10,[1]Hugst!$R$4:$W$4,0))))</f>
        <v>89.41220125407466</v>
      </c>
      <c r="N187">
        <f ca="1">IF($C187-N$1&lt;År1,0,M186*(1-VLOOKUP($A187,[1]Hugst!$R$5:$W$9,MATCH(ROUNDUP((N$1)/10,0)*10,[1]Hugst!$R$4:$W$4,0))))</f>
        <v>89.554762446278403</v>
      </c>
      <c r="O187">
        <f ca="1">IF($C187-O$1&lt;År1,0,N186*(1-VLOOKUP($A187,[1]Hugst!$R$5:$W$9,MATCH(ROUNDUP((O$1)/10,0)*10,[1]Hugst!$R$4:$W$4,0))))</f>
        <v>89.698040026383126</v>
      </c>
      <c r="P187">
        <f ca="1">IF($C187-P$1&lt;År1,0,O186*(1-VLOOKUP($A187,[1]Hugst!$R$5:$W$9,MATCH(ROUNDUP((P$1)/10,0)*10,[1]Hugst!$R$4:$W$4,0))))</f>
        <v>89.842037594326996</v>
      </c>
      <c r="Q187">
        <f ca="1">IF($C187-Q$1&lt;År1,0,P186*(1-VLOOKUP($A187,[1]Hugst!$R$5:$W$9,MATCH(ROUNDUP((Q$1)/10,0)*10,[1]Hugst!$R$4:$W$4,0))))</f>
        <v>89.98675876813985</v>
      </c>
      <c r="R187">
        <f ca="1">IF($C187-R$1&lt;År1,0,Q186*(1-VLOOKUP($A187,[1]Hugst!$R$5:$W$9,MATCH(ROUNDUP((R$1)/10,0)*10,[1]Hugst!$R$4:$W$4,0))))</f>
        <v>90.132207184033689</v>
      </c>
      <c r="S187">
        <f ca="1">IF($C187-S$1&lt;År1,0,R186*(1-VLOOKUP($A187,[1]Hugst!$R$5:$W$9,MATCH(ROUNDUP((S$1)/10,0)*10,[1]Hugst!$R$4:$W$4,0))))</f>
        <v>90.278386496488167</v>
      </c>
      <c r="T187">
        <f ca="1">IF($C187-T$1&lt;År1,0,S186*(1-VLOOKUP($A187,[1]Hugst!$R$5:$W$9,MATCH(ROUNDUP((T$1)/10,0)*10,[1]Hugst!$R$4:$W$4,0))))</f>
        <v>90.425300378352233</v>
      </c>
      <c r="U187">
        <f ca="1">IF($C187-U$1&lt;År1,0,T186*(1-VLOOKUP($A187,[1]Hugst!$R$5:$W$9,MATCH(ROUNDUP((U$1)/10,0)*10,[1]Hugst!$R$4:$W$4,0))))</f>
        <v>90.572952520930073</v>
      </c>
      <c r="V187">
        <f ca="1">IF($C187-V$1&lt;År1,0,U186*(1-VLOOKUP($A187,[1]Hugst!$R$5:$W$9,MATCH(ROUNDUP((V$1)/10,0)*10,[1]Hugst!$R$4:$W$4,0))))</f>
        <v>90.721346634072461</v>
      </c>
      <c r="W187">
        <f ca="1">IF($C187-W$1&lt;År1,0,V186*(1-VLOOKUP($A187,[1]Hugst!$R$5:$W$9,MATCH(ROUNDUP((W$1)/10,0)*10,[1]Hugst!$R$4:$W$4,0))))</f>
        <v>90.870486446276232</v>
      </c>
      <c r="X187">
        <f ca="1">IF($C187-X$1&lt;År1,0,W186*(1-VLOOKUP($A187,[1]Hugst!$R$5:$W$9,MATCH(ROUNDUP((X$1)/10,0)*10,[1]Hugst!$R$4:$W$4,0))))</f>
        <v>91.02037570477313</v>
      </c>
      <c r="Y187">
        <f ca="1">IF($C187-Y$1&lt;År1,0,X186*(1-VLOOKUP($A187,[1]Hugst!$R$5:$W$9,MATCH(ROUNDUP((Y$1)/10,0)*10,[1]Hugst!$R$4:$W$4,0))))</f>
        <v>91.171018175622692</v>
      </c>
      <c r="Z187">
        <f ca="1">IF($C187-Z$1&lt;År1,0,Y186*(1-VLOOKUP($A187,[1]Hugst!$R$5:$W$9,MATCH(ROUNDUP((Z$1)/10,0)*10,[1]Hugst!$R$4:$W$4,0))))</f>
        <v>69.125136187275132</v>
      </c>
      <c r="AA187">
        <f ca="1">IF($C187-AA$1&lt;År1,0,Z186*(1-VLOOKUP($A187,[1]Hugst!$R$5:$W$9,MATCH(ROUNDUP((AA$1)/10,0)*10,[1]Hugst!$R$4:$W$4,0))))</f>
        <v>69.277296456813701</v>
      </c>
      <c r="AB187">
        <f ca="1">IF($C187-AB$1&lt;År1,0,AA186*(1-VLOOKUP($A187,[1]Hugst!$R$5:$W$9,MATCH(ROUNDUP((AB$1)/10,0)*10,[1]Hugst!$R$4:$W$4,0))))</f>
        <v>69.430221350823388</v>
      </c>
      <c r="AC187">
        <f ca="1">IF($C187-AC$1&lt;År1,0,AB186*(1-VLOOKUP($A187,[1]Hugst!$R$5:$W$9,MATCH(ROUNDUP((AC$1)/10,0)*10,[1]Hugst!$R$4:$W$4,0))))</f>
        <v>69.583914711636112</v>
      </c>
      <c r="AD187">
        <f ca="1">IF($C187-AD$1&lt;År1,0,AC186*(1-VLOOKUP($A187,[1]Hugst!$R$5:$W$9,MATCH(ROUNDUP((AD$1)/10,0)*10,[1]Hugst!$R$4:$W$4,0))))</f>
        <v>69.73838040089737</v>
      </c>
      <c r="AE187">
        <f ca="1">IF($C187-AE$1&lt;År1,0,AD186*(1-VLOOKUP($A187,[1]Hugst!$R$5:$W$9,MATCH(ROUNDUP((AE$1)/10,0)*10,[1]Hugst!$R$4:$W$4,0))))</f>
        <v>69.893622299649508</v>
      </c>
      <c r="AF187">
        <f ca="1">IF($C187-AF$1&lt;År1,0,AE186*(1-VLOOKUP($A187,[1]Hugst!$R$5:$W$9,MATCH(ROUNDUP((AF$1)/10,0)*10,[1]Hugst!$R$4:$W$4,0))))</f>
        <v>70.049644308447569</v>
      </c>
      <c r="AG187">
        <f ca="1">IF($C187-AG$1&lt;År1,0,AF186*(1-VLOOKUP($A187,[1]Hugst!$R$5:$W$9,MATCH(ROUNDUP((AG$1)/10,0)*10,[1]Hugst!$R$4:$W$4,0))))</f>
        <v>70.206450347439187</v>
      </c>
      <c r="AH187">
        <f ca="1">IF($C187-AH$1&lt;År1,0,AG186*(1-VLOOKUP($A187,[1]Hugst!$R$5:$W$9,MATCH(ROUNDUP((AH$1)/10,0)*10,[1]Hugst!$R$4:$W$4,0))))</f>
        <v>70.364044356477635</v>
      </c>
      <c r="AI187">
        <f ca="1">IF($C187-AI$1&lt;År1,0,AH186*(1-VLOOKUP($A187,[1]Hugst!$R$5:$W$9,MATCH(ROUNDUP((AI$1)/10,0)*10,[1]Hugst!$R$4:$W$4,0))))</f>
        <v>70.522430295208849</v>
      </c>
      <c r="AJ187">
        <f ca="1">IF($C187-AJ$1&lt;År1,0,AI186*(1-VLOOKUP($A187,[1]Hugst!$R$5:$W$9,MATCH(ROUNDUP((AJ$1)/10,0)*10,[1]Hugst!$R$4:$W$4,0))))</f>
        <v>70.553100121101537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3280.8031422265312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3275.9086663582484</v>
      </c>
      <c r="G189">
        <f ca="1">IF($C189-G$1&lt;År1,0,F188*(1-VLOOKUP($A189,[1]Hugst!$R$5:$W$9,MATCH(ROUNDUP((G$1)/10,0)*10,[1]Hugst!$R$4:$W$4,0))))</f>
        <v>3280.8031422265312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3271.0386628693586</v>
      </c>
      <c r="G190">
        <f ca="1">IF($C190-G$1&lt;År1,0,F189*(1-VLOOKUP($A190,[1]Hugst!$R$5:$W$9,MATCH(ROUNDUP((G$1)/10,0)*10,[1]Hugst!$R$4:$W$4,0))))</f>
        <v>3275.9086663582484</v>
      </c>
      <c r="H190">
        <f ca="1">IF($C190-H$1&lt;År1,0,G189*(1-VLOOKUP($A190,[1]Hugst!$R$5:$W$9,MATCH(ROUNDUP((H$1)/10,0)*10,[1]Hugst!$R$4:$W$4,0))))</f>
        <v>3280.8031422265312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3266.1930093978795</v>
      </c>
      <c r="G191">
        <f ca="1">IF($C191-G$1&lt;År1,0,F190*(1-VLOOKUP($A191,[1]Hugst!$R$5:$W$9,MATCH(ROUNDUP((G$1)/10,0)*10,[1]Hugst!$R$4:$W$4,0))))</f>
        <v>3271.0386628693586</v>
      </c>
      <c r="H191">
        <f ca="1">IF($C191-H$1&lt;År1,0,G190*(1-VLOOKUP($A191,[1]Hugst!$R$5:$W$9,MATCH(ROUNDUP((H$1)/10,0)*10,[1]Hugst!$R$4:$W$4,0))))</f>
        <v>3275.9086663582484</v>
      </c>
      <c r="I191">
        <f ca="1">IF($C191-I$1&lt;År1,0,H190*(1-VLOOKUP($A191,[1]Hugst!$R$5:$W$9,MATCH(ROUNDUP((I$1)/10,0)*10,[1]Hugst!$R$4:$W$4,0))))</f>
        <v>3280.8031422265312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3261.3715841937615</v>
      </c>
      <c r="G192">
        <f ca="1">IF($C192-G$1&lt;År1,0,F191*(1-VLOOKUP($A192,[1]Hugst!$R$5:$W$9,MATCH(ROUNDUP((G$1)/10,0)*10,[1]Hugst!$R$4:$W$4,0))))</f>
        <v>3266.1930093978795</v>
      </c>
      <c r="H192">
        <f ca="1">IF($C192-H$1&lt;År1,0,G191*(1-VLOOKUP($A192,[1]Hugst!$R$5:$W$9,MATCH(ROUNDUP((H$1)/10,0)*10,[1]Hugst!$R$4:$W$4,0))))</f>
        <v>3271.0386628693586</v>
      </c>
      <c r="I192">
        <f ca="1">IF($C192-I$1&lt;År1,0,H191*(1-VLOOKUP($A192,[1]Hugst!$R$5:$W$9,MATCH(ROUNDUP((I$1)/10,0)*10,[1]Hugst!$R$4:$W$4,0))))</f>
        <v>3275.9086663582484</v>
      </c>
      <c r="J192">
        <f ca="1">IF($C192-J$1&lt;År1,0,I191*(1-VLOOKUP($A192,[1]Hugst!$R$5:$W$9,MATCH(ROUNDUP((J$1)/10,0)*10,[1]Hugst!$R$4:$W$4,0))))</f>
        <v>3280.8031422265312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3256.574266115661</v>
      </c>
      <c r="G193">
        <f ca="1">IF($C193-G$1&lt;År1,0,F192*(1-VLOOKUP($A193,[1]Hugst!$R$5:$W$9,MATCH(ROUNDUP((G$1)/10,0)*10,[1]Hugst!$R$4:$W$4,0))))</f>
        <v>3261.3715841937615</v>
      </c>
      <c r="H193">
        <f ca="1">IF($C193-H$1&lt;År1,0,G192*(1-VLOOKUP($A193,[1]Hugst!$R$5:$W$9,MATCH(ROUNDUP((H$1)/10,0)*10,[1]Hugst!$R$4:$W$4,0))))</f>
        <v>3266.1930093978795</v>
      </c>
      <c r="I193">
        <f ca="1">IF($C193-I$1&lt;År1,0,H192*(1-VLOOKUP($A193,[1]Hugst!$R$5:$W$9,MATCH(ROUNDUP((I$1)/10,0)*10,[1]Hugst!$R$4:$W$4,0))))</f>
        <v>3271.0386628693586</v>
      </c>
      <c r="J193">
        <f ca="1">IF($C193-J$1&lt;År1,0,I192*(1-VLOOKUP($A193,[1]Hugst!$R$5:$W$9,MATCH(ROUNDUP((J$1)/10,0)*10,[1]Hugst!$R$4:$W$4,0))))</f>
        <v>3275.9086663582484</v>
      </c>
      <c r="K193">
        <f ca="1">IF($C193-K$1&lt;År1,0,J192*(1-VLOOKUP($A193,[1]Hugst!$R$5:$W$9,MATCH(ROUNDUP((K$1)/10,0)*10,[1]Hugst!$R$4:$W$4,0))))</f>
        <v>3280.8031422265312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3251.8009346279605</v>
      </c>
      <c r="G194">
        <f ca="1">IF($C194-G$1&lt;År1,0,F193*(1-VLOOKUP($A194,[1]Hugst!$R$5:$W$9,MATCH(ROUNDUP((G$1)/10,0)*10,[1]Hugst!$R$4:$W$4,0))))</f>
        <v>3256.574266115661</v>
      </c>
      <c r="H194">
        <f ca="1">IF($C194-H$1&lt;År1,0,G193*(1-VLOOKUP($A194,[1]Hugst!$R$5:$W$9,MATCH(ROUNDUP((H$1)/10,0)*10,[1]Hugst!$R$4:$W$4,0))))</f>
        <v>3261.3715841937615</v>
      </c>
      <c r="I194">
        <f ca="1">IF($C194-I$1&lt;År1,0,H193*(1-VLOOKUP($A194,[1]Hugst!$R$5:$W$9,MATCH(ROUNDUP((I$1)/10,0)*10,[1]Hugst!$R$4:$W$4,0))))</f>
        <v>3266.1930093978795</v>
      </c>
      <c r="J194">
        <f ca="1">IF($C194-J$1&lt;År1,0,I193*(1-VLOOKUP($A194,[1]Hugst!$R$5:$W$9,MATCH(ROUNDUP((J$1)/10,0)*10,[1]Hugst!$R$4:$W$4,0))))</f>
        <v>3271.0386628693586</v>
      </c>
      <c r="K194">
        <f ca="1">IF($C194-K$1&lt;År1,0,J193*(1-VLOOKUP($A194,[1]Hugst!$R$5:$W$9,MATCH(ROUNDUP((K$1)/10,0)*10,[1]Hugst!$R$4:$W$4,0))))</f>
        <v>3275.9086663582484</v>
      </c>
      <c r="L194">
        <f ca="1">IF($C194-L$1&lt;År1,0,K193*(1-VLOOKUP($A194,[1]Hugst!$R$5:$W$9,MATCH(ROUNDUP((L$1)/10,0)*10,[1]Hugst!$R$4:$W$4,0))))</f>
        <v>3280.8031422265312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3247.0514697977023</v>
      </c>
      <c r="G195">
        <f ca="1">IF($C195-G$1&lt;År1,0,F194*(1-VLOOKUP($A195,[1]Hugst!$R$5:$W$9,MATCH(ROUNDUP((G$1)/10,0)*10,[1]Hugst!$R$4:$W$4,0))))</f>
        <v>3251.8009346279605</v>
      </c>
      <c r="H195">
        <f ca="1">IF($C195-H$1&lt;År1,0,G194*(1-VLOOKUP($A195,[1]Hugst!$R$5:$W$9,MATCH(ROUNDUP((H$1)/10,0)*10,[1]Hugst!$R$4:$W$4,0))))</f>
        <v>3256.574266115661</v>
      </c>
      <c r="I195">
        <f ca="1">IF($C195-I$1&lt;År1,0,H194*(1-VLOOKUP($A195,[1]Hugst!$R$5:$W$9,MATCH(ROUNDUP((I$1)/10,0)*10,[1]Hugst!$R$4:$W$4,0))))</f>
        <v>3261.3715841937615</v>
      </c>
      <c r="J195">
        <f ca="1">IF($C195-J$1&lt;År1,0,I194*(1-VLOOKUP($A195,[1]Hugst!$R$5:$W$9,MATCH(ROUNDUP((J$1)/10,0)*10,[1]Hugst!$R$4:$W$4,0))))</f>
        <v>3266.1930093978795</v>
      </c>
      <c r="K195">
        <f ca="1">IF($C195-K$1&lt;År1,0,J194*(1-VLOOKUP($A195,[1]Hugst!$R$5:$W$9,MATCH(ROUNDUP((K$1)/10,0)*10,[1]Hugst!$R$4:$W$4,0))))</f>
        <v>3271.0386628693586</v>
      </c>
      <c r="L195">
        <f ca="1">IF($C195-L$1&lt;År1,0,K194*(1-VLOOKUP($A195,[1]Hugst!$R$5:$W$9,MATCH(ROUNDUP((L$1)/10,0)*10,[1]Hugst!$R$4:$W$4,0))))</f>
        <v>3275.9086663582484</v>
      </c>
      <c r="M195">
        <f ca="1">IF($C195-M$1&lt;År1,0,L194*(1-VLOOKUP($A195,[1]Hugst!$R$5:$W$9,MATCH(ROUNDUP((M$1)/10,0)*10,[1]Hugst!$R$4:$W$4,0))))</f>
        <v>3280.8031422265312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3242.3257522916001</v>
      </c>
      <c r="G196">
        <f ca="1">IF($C196-G$1&lt;År1,0,F195*(1-VLOOKUP($A196,[1]Hugst!$R$5:$W$9,MATCH(ROUNDUP((G$1)/10,0)*10,[1]Hugst!$R$4:$W$4,0))))</f>
        <v>3247.0514697977023</v>
      </c>
      <c r="H196">
        <f ca="1">IF($C196-H$1&lt;År1,0,G195*(1-VLOOKUP($A196,[1]Hugst!$R$5:$W$9,MATCH(ROUNDUP((H$1)/10,0)*10,[1]Hugst!$R$4:$W$4,0))))</f>
        <v>3251.8009346279605</v>
      </c>
      <c r="I196">
        <f ca="1">IF($C196-I$1&lt;År1,0,H195*(1-VLOOKUP($A196,[1]Hugst!$R$5:$W$9,MATCH(ROUNDUP((I$1)/10,0)*10,[1]Hugst!$R$4:$W$4,0))))</f>
        <v>3256.574266115661</v>
      </c>
      <c r="J196">
        <f ca="1">IF($C196-J$1&lt;År1,0,I195*(1-VLOOKUP($A196,[1]Hugst!$R$5:$W$9,MATCH(ROUNDUP((J$1)/10,0)*10,[1]Hugst!$R$4:$W$4,0))))</f>
        <v>3261.3715841937615</v>
      </c>
      <c r="K196">
        <f ca="1">IF($C196-K$1&lt;År1,0,J195*(1-VLOOKUP($A196,[1]Hugst!$R$5:$W$9,MATCH(ROUNDUP((K$1)/10,0)*10,[1]Hugst!$R$4:$W$4,0))))</f>
        <v>3266.1930093978795</v>
      </c>
      <c r="L196">
        <f ca="1">IF($C196-L$1&lt;År1,0,K195*(1-VLOOKUP($A196,[1]Hugst!$R$5:$W$9,MATCH(ROUNDUP((L$1)/10,0)*10,[1]Hugst!$R$4:$W$4,0))))</f>
        <v>3271.0386628693586</v>
      </c>
      <c r="M196">
        <f ca="1">IF($C196-M$1&lt;År1,0,L195*(1-VLOOKUP($A196,[1]Hugst!$R$5:$W$9,MATCH(ROUNDUP((M$1)/10,0)*10,[1]Hugst!$R$4:$W$4,0))))</f>
        <v>3275.9086663582484</v>
      </c>
      <c r="N196">
        <f ca="1">IF($C196-N$1&lt;År1,0,M195*(1-VLOOKUP($A196,[1]Hugst!$R$5:$W$9,MATCH(ROUNDUP((N$1)/10,0)*10,[1]Hugst!$R$4:$W$4,0))))</f>
        <v>3280.8031422265312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3237.6236633729714</v>
      </c>
      <c r="G197">
        <f ca="1">IF($C197-G$1&lt;År1,0,F196*(1-VLOOKUP($A197,[1]Hugst!$R$5:$W$9,MATCH(ROUNDUP((G$1)/10,0)*10,[1]Hugst!$R$4:$W$4,0))))</f>
        <v>3242.3257522916001</v>
      </c>
      <c r="H197">
        <f ca="1">IF($C197-H$1&lt;År1,0,G196*(1-VLOOKUP($A197,[1]Hugst!$R$5:$W$9,MATCH(ROUNDUP((H$1)/10,0)*10,[1]Hugst!$R$4:$W$4,0))))</f>
        <v>3247.0514697977023</v>
      </c>
      <c r="I197">
        <f ca="1">IF($C197-I$1&lt;År1,0,H196*(1-VLOOKUP($A197,[1]Hugst!$R$5:$W$9,MATCH(ROUNDUP((I$1)/10,0)*10,[1]Hugst!$R$4:$W$4,0))))</f>
        <v>3251.8009346279605</v>
      </c>
      <c r="J197">
        <f ca="1">IF($C197-J$1&lt;År1,0,I196*(1-VLOOKUP($A197,[1]Hugst!$R$5:$W$9,MATCH(ROUNDUP((J$1)/10,0)*10,[1]Hugst!$R$4:$W$4,0))))</f>
        <v>3256.574266115661</v>
      </c>
      <c r="K197">
        <f ca="1">IF($C197-K$1&lt;År1,0,J196*(1-VLOOKUP($A197,[1]Hugst!$R$5:$W$9,MATCH(ROUNDUP((K$1)/10,0)*10,[1]Hugst!$R$4:$W$4,0))))</f>
        <v>3261.3715841937615</v>
      </c>
      <c r="L197">
        <f ca="1">IF($C197-L$1&lt;År1,0,K196*(1-VLOOKUP($A197,[1]Hugst!$R$5:$W$9,MATCH(ROUNDUP((L$1)/10,0)*10,[1]Hugst!$R$4:$W$4,0))))</f>
        <v>3266.1930093978795</v>
      </c>
      <c r="M197">
        <f ca="1">IF($C197-M$1&lt;År1,0,L196*(1-VLOOKUP($A197,[1]Hugst!$R$5:$W$9,MATCH(ROUNDUP((M$1)/10,0)*10,[1]Hugst!$R$4:$W$4,0))))</f>
        <v>3271.0386628693586</v>
      </c>
      <c r="N197">
        <f ca="1">IF($C197-N$1&lt;År1,0,M196*(1-VLOOKUP($A197,[1]Hugst!$R$5:$W$9,MATCH(ROUNDUP((N$1)/10,0)*10,[1]Hugst!$R$4:$W$4,0))))</f>
        <v>3275.9086663582484</v>
      </c>
      <c r="O197">
        <f ca="1">IF($C197-O$1&lt;År1,0,N196*(1-VLOOKUP($A197,[1]Hugst!$R$5:$W$9,MATCH(ROUNDUP((O$1)/10,0)*10,[1]Hugst!$R$4:$W$4,0))))</f>
        <v>3280.8031422265312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7.201762995129684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3240.146847894157</v>
      </c>
      <c r="G198">
        <f ca="1">IF($C198-G$1&lt;År1,0,F197*(1-VLOOKUP($A198,[1]Hugst!$R$5:$W$9,MATCH(ROUNDUP((G$1)/10,0)*10,[1]Hugst!$R$4:$W$4,0))))</f>
        <v>3237.6236633729714</v>
      </c>
      <c r="H198">
        <f ca="1">IF($C198-H$1&lt;År1,0,G197*(1-VLOOKUP($A198,[1]Hugst!$R$5:$W$9,MATCH(ROUNDUP((H$1)/10,0)*10,[1]Hugst!$R$4:$W$4,0))))</f>
        <v>3242.3257522916001</v>
      </c>
      <c r="I198">
        <f ca="1">IF($C198-I$1&lt;År1,0,H197*(1-VLOOKUP($A198,[1]Hugst!$R$5:$W$9,MATCH(ROUNDUP((I$1)/10,0)*10,[1]Hugst!$R$4:$W$4,0))))</f>
        <v>3247.0514697977023</v>
      </c>
      <c r="J198">
        <f ca="1">IF($C198-J$1&lt;År1,0,I197*(1-VLOOKUP($A198,[1]Hugst!$R$5:$W$9,MATCH(ROUNDUP((J$1)/10,0)*10,[1]Hugst!$R$4:$W$4,0))))</f>
        <v>3251.8009346279605</v>
      </c>
      <c r="K198">
        <f ca="1">IF($C198-K$1&lt;År1,0,J197*(1-VLOOKUP($A198,[1]Hugst!$R$5:$W$9,MATCH(ROUNDUP((K$1)/10,0)*10,[1]Hugst!$R$4:$W$4,0))))</f>
        <v>3256.574266115661</v>
      </c>
      <c r="L198">
        <f ca="1">IF($C198-L$1&lt;År1,0,K197*(1-VLOOKUP($A198,[1]Hugst!$R$5:$W$9,MATCH(ROUNDUP((L$1)/10,0)*10,[1]Hugst!$R$4:$W$4,0))))</f>
        <v>3261.3715841937615</v>
      </c>
      <c r="M198">
        <f ca="1">IF($C198-M$1&lt;År1,0,L197*(1-VLOOKUP($A198,[1]Hugst!$R$5:$W$9,MATCH(ROUNDUP((M$1)/10,0)*10,[1]Hugst!$R$4:$W$4,0))))</f>
        <v>3266.1930093978795</v>
      </c>
      <c r="N198">
        <f ca="1">IF($C198-N$1&lt;År1,0,M197*(1-VLOOKUP($A198,[1]Hugst!$R$5:$W$9,MATCH(ROUNDUP((N$1)/10,0)*10,[1]Hugst!$R$4:$W$4,0))))</f>
        <v>3271.0386628693586</v>
      </c>
      <c r="O198">
        <f ca="1">IF($C198-O$1&lt;År1,0,N197*(1-VLOOKUP($A198,[1]Hugst!$R$5:$W$9,MATCH(ROUNDUP((O$1)/10,0)*10,[1]Hugst!$R$4:$W$4,0))))</f>
        <v>3275.9086663582484</v>
      </c>
      <c r="P198">
        <f ca="1">IF($C198-P$1&lt;År1,0,O197*(1-VLOOKUP($A198,[1]Hugst!$R$5:$W$9,MATCH(ROUNDUP((P$1)/10,0)*10,[1]Hugst!$R$4:$W$4,0))))</f>
        <v>3273.6013792313997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14.376973270809685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4558.042854630803</v>
      </c>
      <c r="G199">
        <f ca="1">IF($C199-G$1&lt;År1,0,F198*(1-VLOOKUP($A199,[1]Hugst!$R$5:$W$9,MATCH(ROUNDUP((G$1)/10,0)*10,[1]Hugst!$R$4:$W$4,0))))</f>
        <v>3240.146847894157</v>
      </c>
      <c r="H199">
        <f ca="1">IF($C199-H$1&lt;År1,0,G198*(1-VLOOKUP($A199,[1]Hugst!$R$5:$W$9,MATCH(ROUNDUP((H$1)/10,0)*10,[1]Hugst!$R$4:$W$4,0))))</f>
        <v>3237.6236633729714</v>
      </c>
      <c r="I199">
        <f ca="1">IF($C199-I$1&lt;År1,0,H198*(1-VLOOKUP($A199,[1]Hugst!$R$5:$W$9,MATCH(ROUNDUP((I$1)/10,0)*10,[1]Hugst!$R$4:$W$4,0))))</f>
        <v>3242.3257522916001</v>
      </c>
      <c r="J199">
        <f ca="1">IF($C199-J$1&lt;År1,0,I198*(1-VLOOKUP($A199,[1]Hugst!$R$5:$W$9,MATCH(ROUNDUP((J$1)/10,0)*10,[1]Hugst!$R$4:$W$4,0))))</f>
        <v>3247.0514697977023</v>
      </c>
      <c r="K199">
        <f ca="1">IF($C199-K$1&lt;År1,0,J198*(1-VLOOKUP($A199,[1]Hugst!$R$5:$W$9,MATCH(ROUNDUP((K$1)/10,0)*10,[1]Hugst!$R$4:$W$4,0))))</f>
        <v>3251.8009346279605</v>
      </c>
      <c r="L199">
        <f ca="1">IF($C199-L$1&lt;År1,0,K198*(1-VLOOKUP($A199,[1]Hugst!$R$5:$W$9,MATCH(ROUNDUP((L$1)/10,0)*10,[1]Hugst!$R$4:$W$4,0))))</f>
        <v>3256.574266115661</v>
      </c>
      <c r="M199">
        <f ca="1">IF($C199-M$1&lt;År1,0,L198*(1-VLOOKUP($A199,[1]Hugst!$R$5:$W$9,MATCH(ROUNDUP((M$1)/10,0)*10,[1]Hugst!$R$4:$W$4,0))))</f>
        <v>3261.3715841937615</v>
      </c>
      <c r="N199">
        <f ca="1">IF($C199-N$1&lt;År1,0,M198*(1-VLOOKUP($A199,[1]Hugst!$R$5:$W$9,MATCH(ROUNDUP((N$1)/10,0)*10,[1]Hugst!$R$4:$W$4,0))))</f>
        <v>3266.1930093978795</v>
      </c>
      <c r="O199">
        <f ca="1">IF($C199-O$1&lt;År1,0,N198*(1-VLOOKUP($A199,[1]Hugst!$R$5:$W$9,MATCH(ROUNDUP((O$1)/10,0)*10,[1]Hugst!$R$4:$W$4,0))))</f>
        <v>3271.0386628693586</v>
      </c>
      <c r="P199">
        <f ca="1">IF($C199-P$1&lt;År1,0,O198*(1-VLOOKUP($A199,[1]Hugst!$R$5:$W$9,MATCH(ROUNDUP((P$1)/10,0)*10,[1]Hugst!$R$4:$W$4,0))))</f>
        <v>3268.7176473345353</v>
      </c>
      <c r="Q199">
        <f ca="1">IF($C199-Q$1&lt;År1,0,P198*(1-VLOOKUP($A199,[1]Hugst!$R$5:$W$9,MATCH(ROUNDUP((Q$1)/10,0)*10,[1]Hugst!$R$4:$W$4,0))))</f>
        <v>3266.4154249843064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21.525742833327968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4560.559714539655</v>
      </c>
      <c r="G200">
        <f ca="1">IF($C200-G$1&lt;År1,0,F199*(1-VLOOKUP($A200,[1]Hugst!$R$5:$W$9,MATCH(ROUNDUP((G$1)/10,0)*10,[1]Hugst!$R$4:$W$4,0))))</f>
        <v>4558.042854630803</v>
      </c>
      <c r="H200">
        <f ca="1">IF($C200-H$1&lt;År1,0,G199*(1-VLOOKUP($A200,[1]Hugst!$R$5:$W$9,MATCH(ROUNDUP((H$1)/10,0)*10,[1]Hugst!$R$4:$W$4,0))))</f>
        <v>3240.146847894157</v>
      </c>
      <c r="I200">
        <f ca="1">IF($C200-I$1&lt;År1,0,H199*(1-VLOOKUP($A200,[1]Hugst!$R$5:$W$9,MATCH(ROUNDUP((I$1)/10,0)*10,[1]Hugst!$R$4:$W$4,0))))</f>
        <v>3237.6236633729714</v>
      </c>
      <c r="J200">
        <f ca="1">IF($C200-J$1&lt;År1,0,I199*(1-VLOOKUP($A200,[1]Hugst!$R$5:$W$9,MATCH(ROUNDUP((J$1)/10,0)*10,[1]Hugst!$R$4:$W$4,0))))</f>
        <v>3242.3257522916001</v>
      </c>
      <c r="K200">
        <f ca="1">IF($C200-K$1&lt;År1,0,J199*(1-VLOOKUP($A200,[1]Hugst!$R$5:$W$9,MATCH(ROUNDUP((K$1)/10,0)*10,[1]Hugst!$R$4:$W$4,0))))</f>
        <v>3247.0514697977023</v>
      </c>
      <c r="L200">
        <f ca="1">IF($C200-L$1&lt;År1,0,K199*(1-VLOOKUP($A200,[1]Hugst!$R$5:$W$9,MATCH(ROUNDUP((L$1)/10,0)*10,[1]Hugst!$R$4:$W$4,0))))</f>
        <v>3251.8009346279605</v>
      </c>
      <c r="M200">
        <f ca="1">IF($C200-M$1&lt;År1,0,L199*(1-VLOOKUP($A200,[1]Hugst!$R$5:$W$9,MATCH(ROUNDUP((M$1)/10,0)*10,[1]Hugst!$R$4:$W$4,0))))</f>
        <v>3256.574266115661</v>
      </c>
      <c r="N200">
        <f ca="1">IF($C200-N$1&lt;År1,0,M199*(1-VLOOKUP($A200,[1]Hugst!$R$5:$W$9,MATCH(ROUNDUP((N$1)/10,0)*10,[1]Hugst!$R$4:$W$4,0))))</f>
        <v>3261.3715841937615</v>
      </c>
      <c r="O200">
        <f ca="1">IF($C200-O$1&lt;År1,0,N199*(1-VLOOKUP($A200,[1]Hugst!$R$5:$W$9,MATCH(ROUNDUP((O$1)/10,0)*10,[1]Hugst!$R$4:$W$4,0))))</f>
        <v>3266.1930093978795</v>
      </c>
      <c r="P200">
        <f ca="1">IF($C200-P$1&lt;År1,0,O199*(1-VLOOKUP($A200,[1]Hugst!$R$5:$W$9,MATCH(ROUNDUP((P$1)/10,0)*10,[1]Hugst!$R$4:$W$4,0))))</f>
        <v>3263.8583340972064</v>
      </c>
      <c r="Q200">
        <f ca="1">IF($C200-Q$1&lt;År1,0,P199*(1-VLOOKUP($A200,[1]Hugst!$R$5:$W$9,MATCH(ROUNDUP((Q$1)/10,0)*10,[1]Hugst!$R$4:$W$4,0))))</f>
        <v>3261.5424134745326</v>
      </c>
      <c r="R200">
        <f ca="1">IF($C200-R$1&lt;År1,0,Q199*(1-VLOOKUP($A200,[1]Hugst!$R$5:$W$9,MATCH(ROUNDUP((R$1)/10,0)*10,[1]Hugst!$R$4:$W$4,0))))</f>
        <v>3259.2452447831215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28.648183174584119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4563.0734047754413</v>
      </c>
      <c r="G201">
        <f ca="1">IF($C201-G$1&lt;År1,0,F200*(1-VLOOKUP($A201,[1]Hugst!$R$5:$W$9,MATCH(ROUNDUP((G$1)/10,0)*10,[1]Hugst!$R$4:$W$4,0))))</f>
        <v>4560.559714539655</v>
      </c>
      <c r="H201">
        <f ca="1">IF($C201-H$1&lt;År1,0,G200*(1-VLOOKUP($A201,[1]Hugst!$R$5:$W$9,MATCH(ROUNDUP((H$1)/10,0)*10,[1]Hugst!$R$4:$W$4,0))))</f>
        <v>4558.042854630803</v>
      </c>
      <c r="I201">
        <f ca="1">IF($C201-I$1&lt;År1,0,H200*(1-VLOOKUP($A201,[1]Hugst!$R$5:$W$9,MATCH(ROUNDUP((I$1)/10,0)*10,[1]Hugst!$R$4:$W$4,0))))</f>
        <v>3240.146847894157</v>
      </c>
      <c r="J201">
        <f ca="1">IF($C201-J$1&lt;År1,0,I200*(1-VLOOKUP($A201,[1]Hugst!$R$5:$W$9,MATCH(ROUNDUP((J$1)/10,0)*10,[1]Hugst!$R$4:$W$4,0))))</f>
        <v>3237.6236633729714</v>
      </c>
      <c r="K201">
        <f ca="1">IF($C201-K$1&lt;År1,0,J200*(1-VLOOKUP($A201,[1]Hugst!$R$5:$W$9,MATCH(ROUNDUP((K$1)/10,0)*10,[1]Hugst!$R$4:$W$4,0))))</f>
        <v>3242.3257522916001</v>
      </c>
      <c r="L201">
        <f ca="1">IF($C201-L$1&lt;År1,0,K200*(1-VLOOKUP($A201,[1]Hugst!$R$5:$W$9,MATCH(ROUNDUP((L$1)/10,0)*10,[1]Hugst!$R$4:$W$4,0))))</f>
        <v>3247.0514697977023</v>
      </c>
      <c r="M201">
        <f ca="1">IF($C201-M$1&lt;År1,0,L200*(1-VLOOKUP($A201,[1]Hugst!$R$5:$W$9,MATCH(ROUNDUP((M$1)/10,0)*10,[1]Hugst!$R$4:$W$4,0))))</f>
        <v>3251.8009346279605</v>
      </c>
      <c r="N201">
        <f ca="1">IF($C201-N$1&lt;År1,0,M200*(1-VLOOKUP($A201,[1]Hugst!$R$5:$W$9,MATCH(ROUNDUP((N$1)/10,0)*10,[1]Hugst!$R$4:$W$4,0))))</f>
        <v>3256.574266115661</v>
      </c>
      <c r="O201">
        <f ca="1">IF($C201-O$1&lt;År1,0,N200*(1-VLOOKUP($A201,[1]Hugst!$R$5:$W$9,MATCH(ROUNDUP((O$1)/10,0)*10,[1]Hugst!$R$4:$W$4,0))))</f>
        <v>3261.3715841937615</v>
      </c>
      <c r="P201">
        <f ca="1">IF($C201-P$1&lt;År1,0,O200*(1-VLOOKUP($A201,[1]Hugst!$R$5:$W$9,MATCH(ROUNDUP((P$1)/10,0)*10,[1]Hugst!$R$4:$W$4,0))))</f>
        <v>3259.0233174260306</v>
      </c>
      <c r="Q201">
        <f ca="1">IF($C201-Q$1&lt;År1,0,P200*(1-VLOOKUP($A201,[1]Hugst!$R$5:$W$9,MATCH(ROUNDUP((Q$1)/10,0)*10,[1]Hugst!$R$4:$W$4,0))))</f>
        <v>3256.6937670223588</v>
      </c>
      <c r="R201">
        <f ca="1">IF($C201-R$1&lt;År1,0,Q200*(1-VLOOKUP($A201,[1]Hugst!$R$5:$W$9,MATCH(ROUNDUP((R$1)/10,0)*10,[1]Hugst!$R$4:$W$4,0))))</f>
        <v>3254.3829301278811</v>
      </c>
      <c r="S201">
        <f ca="1">IF($C201-S$1&lt;År1,0,R200*(1-VLOOKUP($A201,[1]Hugst!$R$5:$W$9,MATCH(ROUNDUP((S$1)/10,0)*10,[1]Hugst!$R$4:$W$4,0))))</f>
        <v>3252.0908040018903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35.744405274381279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4565.5839205203265</v>
      </c>
      <c r="G202">
        <f ca="1">IF($C202-G$1&lt;År1,0,F201*(1-VLOOKUP($A202,[1]Hugst!$R$5:$W$9,MATCH(ROUNDUP((G$1)/10,0)*10,[1]Hugst!$R$4:$W$4,0))))</f>
        <v>4563.0734047754413</v>
      </c>
      <c r="H202">
        <f ca="1">IF($C202-H$1&lt;År1,0,G201*(1-VLOOKUP($A202,[1]Hugst!$R$5:$W$9,MATCH(ROUNDUP((H$1)/10,0)*10,[1]Hugst!$R$4:$W$4,0))))</f>
        <v>4560.559714539655</v>
      </c>
      <c r="I202">
        <f ca="1">IF($C202-I$1&lt;År1,0,H201*(1-VLOOKUP($A202,[1]Hugst!$R$5:$W$9,MATCH(ROUNDUP((I$1)/10,0)*10,[1]Hugst!$R$4:$W$4,0))))</f>
        <v>4558.042854630803</v>
      </c>
      <c r="J202">
        <f ca="1">IF($C202-J$1&lt;År1,0,I201*(1-VLOOKUP($A202,[1]Hugst!$R$5:$W$9,MATCH(ROUNDUP((J$1)/10,0)*10,[1]Hugst!$R$4:$W$4,0))))</f>
        <v>3240.146847894157</v>
      </c>
      <c r="K202">
        <f ca="1">IF($C202-K$1&lt;År1,0,J201*(1-VLOOKUP($A202,[1]Hugst!$R$5:$W$9,MATCH(ROUNDUP((K$1)/10,0)*10,[1]Hugst!$R$4:$W$4,0))))</f>
        <v>3237.6236633729714</v>
      </c>
      <c r="L202">
        <f ca="1">IF($C202-L$1&lt;År1,0,K201*(1-VLOOKUP($A202,[1]Hugst!$R$5:$W$9,MATCH(ROUNDUP((L$1)/10,0)*10,[1]Hugst!$R$4:$W$4,0))))</f>
        <v>3242.3257522916001</v>
      </c>
      <c r="M202">
        <f ca="1">IF($C202-M$1&lt;År1,0,L201*(1-VLOOKUP($A202,[1]Hugst!$R$5:$W$9,MATCH(ROUNDUP((M$1)/10,0)*10,[1]Hugst!$R$4:$W$4,0))))</f>
        <v>3247.0514697977023</v>
      </c>
      <c r="N202">
        <f ca="1">IF($C202-N$1&lt;År1,0,M201*(1-VLOOKUP($A202,[1]Hugst!$R$5:$W$9,MATCH(ROUNDUP((N$1)/10,0)*10,[1]Hugst!$R$4:$W$4,0))))</f>
        <v>3251.8009346279605</v>
      </c>
      <c r="O202">
        <f ca="1">IF($C202-O$1&lt;År1,0,N201*(1-VLOOKUP($A202,[1]Hugst!$R$5:$W$9,MATCH(ROUNDUP((O$1)/10,0)*10,[1]Hugst!$R$4:$W$4,0))))</f>
        <v>3256.574266115661</v>
      </c>
      <c r="P202">
        <f ca="1">IF($C202-P$1&lt;År1,0,O201*(1-VLOOKUP($A202,[1]Hugst!$R$5:$W$9,MATCH(ROUNDUP((P$1)/10,0)*10,[1]Hugst!$R$4:$W$4,0))))</f>
        <v>3254.2124758382142</v>
      </c>
      <c r="Q202">
        <f ca="1">IF($C202-Q$1&lt;År1,0,P201*(1-VLOOKUP($A202,[1]Hugst!$R$5:$W$9,MATCH(ROUNDUP((Q$1)/10,0)*10,[1]Hugst!$R$4:$W$4,0))))</f>
        <v>3251.8693638024124</v>
      </c>
      <c r="R202">
        <f ca="1">IF($C202-R$1&lt;År1,0,Q201*(1-VLOOKUP($A202,[1]Hugst!$R$5:$W$9,MATCH(ROUNDUP((R$1)/10,0)*10,[1]Hugst!$R$4:$W$4,0))))</f>
        <v>3249.5449270459681</v>
      </c>
      <c r="S202">
        <f ca="1">IF($C202-S$1&lt;År1,0,R201*(1-VLOOKUP($A202,[1]Hugst!$R$5:$W$9,MATCH(ROUNDUP((S$1)/10,0)*10,[1]Hugst!$R$4:$W$4,0))))</f>
        <v>3247.2391627202833</v>
      </c>
      <c r="T202">
        <f ca="1">IF($C202-T$1&lt;År1,0,S201*(1-VLOOKUP($A202,[1]Hugst!$R$5:$W$9,MATCH(ROUNDUP((T$1)/10,0)*10,[1]Hugst!$R$4:$W$4,0))))</f>
        <v>3244.9520680906667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42.814519603052759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4568.0912570258733</v>
      </c>
      <c r="G203">
        <f ca="1">IF($C203-G$1&lt;År1,0,F202*(1-VLOOKUP($A203,[1]Hugst!$R$5:$W$9,MATCH(ROUNDUP((G$1)/10,0)*10,[1]Hugst!$R$4:$W$4,0))))</f>
        <v>4565.5839205203265</v>
      </c>
      <c r="H203">
        <f ca="1">IF($C203-H$1&lt;År1,0,G202*(1-VLOOKUP($A203,[1]Hugst!$R$5:$W$9,MATCH(ROUNDUP((H$1)/10,0)*10,[1]Hugst!$R$4:$W$4,0))))</f>
        <v>4563.0734047754413</v>
      </c>
      <c r="I203">
        <f ca="1">IF($C203-I$1&lt;År1,0,H202*(1-VLOOKUP($A203,[1]Hugst!$R$5:$W$9,MATCH(ROUNDUP((I$1)/10,0)*10,[1]Hugst!$R$4:$W$4,0))))</f>
        <v>4560.559714539655</v>
      </c>
      <c r="J203">
        <f ca="1">IF($C203-J$1&lt;År1,0,I202*(1-VLOOKUP($A203,[1]Hugst!$R$5:$W$9,MATCH(ROUNDUP((J$1)/10,0)*10,[1]Hugst!$R$4:$W$4,0))))</f>
        <v>4558.042854630803</v>
      </c>
      <c r="K203">
        <f ca="1">IF($C203-K$1&lt;År1,0,J202*(1-VLOOKUP($A203,[1]Hugst!$R$5:$W$9,MATCH(ROUNDUP((K$1)/10,0)*10,[1]Hugst!$R$4:$W$4,0))))</f>
        <v>3240.146847894157</v>
      </c>
      <c r="L203">
        <f ca="1">IF($C203-L$1&lt;År1,0,K202*(1-VLOOKUP($A203,[1]Hugst!$R$5:$W$9,MATCH(ROUNDUP((L$1)/10,0)*10,[1]Hugst!$R$4:$W$4,0))))</f>
        <v>3237.6236633729714</v>
      </c>
      <c r="M203">
        <f ca="1">IF($C203-M$1&lt;År1,0,L202*(1-VLOOKUP($A203,[1]Hugst!$R$5:$W$9,MATCH(ROUNDUP((M$1)/10,0)*10,[1]Hugst!$R$4:$W$4,0))))</f>
        <v>3242.3257522916001</v>
      </c>
      <c r="N203">
        <f ca="1">IF($C203-N$1&lt;År1,0,M202*(1-VLOOKUP($A203,[1]Hugst!$R$5:$W$9,MATCH(ROUNDUP((N$1)/10,0)*10,[1]Hugst!$R$4:$W$4,0))))</f>
        <v>3247.0514697977023</v>
      </c>
      <c r="O203">
        <f ca="1">IF($C203-O$1&lt;År1,0,N202*(1-VLOOKUP($A203,[1]Hugst!$R$5:$W$9,MATCH(ROUNDUP((O$1)/10,0)*10,[1]Hugst!$R$4:$W$4,0))))</f>
        <v>3251.8009346279605</v>
      </c>
      <c r="P203">
        <f ca="1">IF($C203-P$1&lt;År1,0,O202*(1-VLOOKUP($A203,[1]Hugst!$R$5:$W$9,MATCH(ROUNDUP((P$1)/10,0)*10,[1]Hugst!$R$4:$W$4,0))))</f>
        <v>3249.4256884583338</v>
      </c>
      <c r="Q203">
        <f ca="1">IF($C203-Q$1&lt;År1,0,P202*(1-VLOOKUP($A203,[1]Hugst!$R$5:$W$9,MATCH(ROUNDUP((Q$1)/10,0)*10,[1]Hugst!$R$4:$W$4,0))))</f>
        <v>3247.0690825985694</v>
      </c>
      <c r="R203">
        <f ca="1">IF($C203-R$1&lt;År1,0,Q202*(1-VLOOKUP($A203,[1]Hugst!$R$5:$W$9,MATCH(ROUNDUP((R$1)/10,0)*10,[1]Hugst!$R$4:$W$4,0))))</f>
        <v>3244.7311139794315</v>
      </c>
      <c r="S203">
        <f ca="1">IF($C203-S$1&lt;År1,0,R202*(1-VLOOKUP($A203,[1]Hugst!$R$5:$W$9,MATCH(ROUNDUP((S$1)/10,0)*10,[1]Hugst!$R$4:$W$4,0))))</f>
        <v>3242.4117796451355</v>
      </c>
      <c r="T203">
        <f ca="1">IF($C203-T$1&lt;År1,0,S202*(1-VLOOKUP($A203,[1]Hugst!$R$5:$W$9,MATCH(ROUNDUP((T$1)/10,0)*10,[1]Hugst!$R$4:$W$4,0))))</f>
        <v>3240.1110767533364</v>
      </c>
      <c r="U203">
        <f ca="1">IF($C203-U$1&lt;År1,0,T202*(1-VLOOKUP($A203,[1]Hugst!$R$5:$W$9,MATCH(ROUNDUP((U$1)/10,0)*10,[1]Hugst!$R$4:$W$4,0))))</f>
        <v>3237.8290025753458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49.858636123834003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4570.5954096126206</v>
      </c>
      <c r="G204">
        <f ca="1">IF($C204-G$1&lt;År1,0,F203*(1-VLOOKUP($A204,[1]Hugst!$R$5:$W$9,MATCH(ROUNDUP((G$1)/10,0)*10,[1]Hugst!$R$4:$W$4,0))))</f>
        <v>4568.0912570258733</v>
      </c>
      <c r="H204">
        <f ca="1">IF($C204-H$1&lt;År1,0,G203*(1-VLOOKUP($A204,[1]Hugst!$R$5:$W$9,MATCH(ROUNDUP((H$1)/10,0)*10,[1]Hugst!$R$4:$W$4,0))))</f>
        <v>4565.5839205203265</v>
      </c>
      <c r="I204">
        <f ca="1">IF($C204-I$1&lt;År1,0,H203*(1-VLOOKUP($A204,[1]Hugst!$R$5:$W$9,MATCH(ROUNDUP((I$1)/10,0)*10,[1]Hugst!$R$4:$W$4,0))))</f>
        <v>4563.0734047754413</v>
      </c>
      <c r="J204">
        <f ca="1">IF($C204-J$1&lt;År1,0,I203*(1-VLOOKUP($A204,[1]Hugst!$R$5:$W$9,MATCH(ROUNDUP((J$1)/10,0)*10,[1]Hugst!$R$4:$W$4,0))))</f>
        <v>4560.559714539655</v>
      </c>
      <c r="K204">
        <f ca="1">IF($C204-K$1&lt;År1,0,J203*(1-VLOOKUP($A204,[1]Hugst!$R$5:$W$9,MATCH(ROUNDUP((K$1)/10,0)*10,[1]Hugst!$R$4:$W$4,0))))</f>
        <v>4558.042854630803</v>
      </c>
      <c r="L204">
        <f ca="1">IF($C204-L$1&lt;År1,0,K203*(1-VLOOKUP($A204,[1]Hugst!$R$5:$W$9,MATCH(ROUNDUP((L$1)/10,0)*10,[1]Hugst!$R$4:$W$4,0))))</f>
        <v>3240.146847894157</v>
      </c>
      <c r="M204">
        <f ca="1">IF($C204-M$1&lt;År1,0,L203*(1-VLOOKUP($A204,[1]Hugst!$R$5:$W$9,MATCH(ROUNDUP((M$1)/10,0)*10,[1]Hugst!$R$4:$W$4,0))))</f>
        <v>3237.6236633729714</v>
      </c>
      <c r="N204">
        <f ca="1">IF($C204-N$1&lt;År1,0,M203*(1-VLOOKUP($A204,[1]Hugst!$R$5:$W$9,MATCH(ROUNDUP((N$1)/10,0)*10,[1]Hugst!$R$4:$W$4,0))))</f>
        <v>3242.3257522916001</v>
      </c>
      <c r="O204">
        <f ca="1">IF($C204-O$1&lt;År1,0,N203*(1-VLOOKUP($A204,[1]Hugst!$R$5:$W$9,MATCH(ROUNDUP((O$1)/10,0)*10,[1]Hugst!$R$4:$W$4,0))))</f>
        <v>3247.0514697977023</v>
      </c>
      <c r="P204">
        <f ca="1">IF($C204-P$1&lt;År1,0,O203*(1-VLOOKUP($A204,[1]Hugst!$R$5:$W$9,MATCH(ROUNDUP((P$1)/10,0)*10,[1]Hugst!$R$4:$W$4,0))))</f>
        <v>3244.6628350153624</v>
      </c>
      <c r="Q204">
        <f ca="1">IF($C204-Q$1&lt;År1,0,P203*(1-VLOOKUP($A204,[1]Hugst!$R$5:$W$9,MATCH(ROUNDUP((Q$1)/10,0)*10,[1]Hugst!$R$4:$W$4,0))))</f>
        <v>3242.2928028007423</v>
      </c>
      <c r="R204">
        <f ca="1">IF($C204-R$1&lt;År1,0,Q203*(1-VLOOKUP($A204,[1]Hugst!$R$5:$W$9,MATCH(ROUNDUP((R$1)/10,0)*10,[1]Hugst!$R$4:$W$4,0))))</f>
        <v>3239.9413699782313</v>
      </c>
      <c r="S204">
        <f ca="1">IF($C204-S$1&lt;År1,0,R203*(1-VLOOKUP($A204,[1]Hugst!$R$5:$W$9,MATCH(ROUNDUP((S$1)/10,0)*10,[1]Hugst!$R$4:$W$4,0))))</f>
        <v>3237.6085334853301</v>
      </c>
      <c r="T204">
        <f ca="1">IF($C204-T$1&lt;År1,0,S203*(1-VLOOKUP($A204,[1]Hugst!$R$5:$W$9,MATCH(ROUNDUP((T$1)/10,0)*10,[1]Hugst!$R$4:$W$4,0))))</f>
        <v>3235.2942903727439</v>
      </c>
      <c r="U204">
        <f ca="1">IF($C204-U$1&lt;År1,0,T203*(1-VLOOKUP($A204,[1]Hugst!$R$5:$W$9,MATCH(ROUNDUP((U$1)/10,0)*10,[1]Hugst!$R$4:$W$4,0))))</f>
        <v>3232.9986378043659</v>
      </c>
      <c r="V204">
        <f ca="1">IF($C204-V$1&lt;År1,0,U203*(1-VLOOKUP($A204,[1]Hugst!$R$5:$W$9,MATCH(ROUNDUP((V$1)/10,0)*10,[1]Hugst!$R$4:$W$4,0))))</f>
        <v>3230.7215730574976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56.876864295321866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4573.0963736697449</v>
      </c>
      <c r="G205">
        <f ca="1">IF($C205-G$1&lt;År1,0,F204*(1-VLOOKUP($A205,[1]Hugst!$R$5:$W$9,MATCH(ROUNDUP((G$1)/10,0)*10,[1]Hugst!$R$4:$W$4,0))))</f>
        <v>4570.5954096126206</v>
      </c>
      <c r="H205">
        <f ca="1">IF($C205-H$1&lt;År1,0,G204*(1-VLOOKUP($A205,[1]Hugst!$R$5:$W$9,MATCH(ROUNDUP((H$1)/10,0)*10,[1]Hugst!$R$4:$W$4,0))))</f>
        <v>4568.0912570258733</v>
      </c>
      <c r="I205">
        <f ca="1">IF($C205-I$1&lt;År1,0,H204*(1-VLOOKUP($A205,[1]Hugst!$R$5:$W$9,MATCH(ROUNDUP((I$1)/10,0)*10,[1]Hugst!$R$4:$W$4,0))))</f>
        <v>4565.5839205203265</v>
      </c>
      <c r="J205">
        <f ca="1">IF($C205-J$1&lt;År1,0,I204*(1-VLOOKUP($A205,[1]Hugst!$R$5:$W$9,MATCH(ROUNDUP((J$1)/10,0)*10,[1]Hugst!$R$4:$W$4,0))))</f>
        <v>4563.0734047754413</v>
      </c>
      <c r="K205">
        <f ca="1">IF($C205-K$1&lt;År1,0,J204*(1-VLOOKUP($A205,[1]Hugst!$R$5:$W$9,MATCH(ROUNDUP((K$1)/10,0)*10,[1]Hugst!$R$4:$W$4,0))))</f>
        <v>4560.559714539655</v>
      </c>
      <c r="L205">
        <f ca="1">IF($C205-L$1&lt;År1,0,K204*(1-VLOOKUP($A205,[1]Hugst!$R$5:$W$9,MATCH(ROUNDUP((L$1)/10,0)*10,[1]Hugst!$R$4:$W$4,0))))</f>
        <v>4558.042854630803</v>
      </c>
      <c r="M205">
        <f ca="1">IF($C205-M$1&lt;År1,0,L204*(1-VLOOKUP($A205,[1]Hugst!$R$5:$W$9,MATCH(ROUNDUP((M$1)/10,0)*10,[1]Hugst!$R$4:$W$4,0))))</f>
        <v>3240.146847894157</v>
      </c>
      <c r="N205">
        <f ca="1">IF($C205-N$1&lt;År1,0,M204*(1-VLOOKUP($A205,[1]Hugst!$R$5:$W$9,MATCH(ROUNDUP((N$1)/10,0)*10,[1]Hugst!$R$4:$W$4,0))))</f>
        <v>3237.6236633729714</v>
      </c>
      <c r="O205">
        <f ca="1">IF($C205-O$1&lt;År1,0,N204*(1-VLOOKUP($A205,[1]Hugst!$R$5:$W$9,MATCH(ROUNDUP((O$1)/10,0)*10,[1]Hugst!$R$4:$W$4,0))))</f>
        <v>3242.3257522916001</v>
      </c>
      <c r="P205">
        <f ca="1">IF($C205-P$1&lt;År1,0,O204*(1-VLOOKUP($A205,[1]Hugst!$R$5:$W$9,MATCH(ROUNDUP((P$1)/10,0)*10,[1]Hugst!$R$4:$W$4,0))))</f>
        <v>3239.9237958396097</v>
      </c>
      <c r="Q205">
        <f ca="1">IF($C205-Q$1&lt;År1,0,P204*(1-VLOOKUP($A205,[1]Hugst!$R$5:$W$9,MATCH(ROUNDUP((Q$1)/10,0)*10,[1]Hugst!$R$4:$W$4,0))))</f>
        <v>3237.5404044019142</v>
      </c>
      <c r="R205">
        <f ca="1">IF($C205-R$1&lt;År1,0,Q204*(1-VLOOKUP($A205,[1]Hugst!$R$5:$W$9,MATCH(ROUNDUP((R$1)/10,0)*10,[1]Hugst!$R$4:$W$4,0))))</f>
        <v>3235.1755746970334</v>
      </c>
      <c r="S205">
        <f ca="1">IF($C205-S$1&lt;År1,0,R204*(1-VLOOKUP($A205,[1]Hugst!$R$5:$W$9,MATCH(ROUNDUP((S$1)/10,0)*10,[1]Hugst!$R$4:$W$4,0))))</f>
        <v>3232.8293035563279</v>
      </c>
      <c r="T205">
        <f ca="1">IF($C205-T$1&lt;År1,0,S204*(1-VLOOKUP($A205,[1]Hugst!$R$5:$W$9,MATCH(ROUNDUP((T$1)/10,0)*10,[1]Hugst!$R$4:$W$4,0))))</f>
        <v>3230.5015879240209</v>
      </c>
      <c r="U205">
        <f ca="1">IF($C205-U$1&lt;År1,0,T204*(1-VLOOKUP($A205,[1]Hugst!$R$5:$W$9,MATCH(ROUNDUP((U$1)/10,0)*10,[1]Hugst!$R$4:$W$4,0))))</f>
        <v>3228.1924248572914</v>
      </c>
      <c r="V205">
        <f ca="1">IF($C205-V$1&lt;År1,0,U204*(1-VLOOKUP($A205,[1]Hugst!$R$5:$W$9,MATCH(ROUNDUP((V$1)/10,0)*10,[1]Hugst!$R$4:$W$4,0))))</f>
        <v>3225.9018115262588</v>
      </c>
      <c r="W205">
        <f ca="1">IF($C205-W$1&lt;År1,0,V204*(1-VLOOKUP($A205,[1]Hugst!$R$5:$W$9,MATCH(ROUNDUP((W$1)/10,0)*10,[1]Hugst!$R$4:$W$4,0))))</f>
        <v>3223.6297452142007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63.869313073853846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4575.5941446545203</v>
      </c>
      <c r="G206">
        <f ca="1">IF($C206-G$1&lt;År1,0,F205*(1-VLOOKUP($A206,[1]Hugst!$R$5:$W$9,MATCH(ROUNDUP((G$1)/10,0)*10,[1]Hugst!$R$4:$W$4,0))))</f>
        <v>4573.0963736697449</v>
      </c>
      <c r="H206">
        <f ca="1">IF($C206-H$1&lt;År1,0,G205*(1-VLOOKUP($A206,[1]Hugst!$R$5:$W$9,MATCH(ROUNDUP((H$1)/10,0)*10,[1]Hugst!$R$4:$W$4,0))))</f>
        <v>4570.5954096126206</v>
      </c>
      <c r="I206">
        <f ca="1">IF($C206-I$1&lt;År1,0,H205*(1-VLOOKUP($A206,[1]Hugst!$R$5:$W$9,MATCH(ROUNDUP((I$1)/10,0)*10,[1]Hugst!$R$4:$W$4,0))))</f>
        <v>4568.0912570258733</v>
      </c>
      <c r="J206">
        <f ca="1">IF($C206-J$1&lt;År1,0,I205*(1-VLOOKUP($A206,[1]Hugst!$R$5:$W$9,MATCH(ROUNDUP((J$1)/10,0)*10,[1]Hugst!$R$4:$W$4,0))))</f>
        <v>4565.5839205203265</v>
      </c>
      <c r="K206">
        <f ca="1">IF($C206-K$1&lt;År1,0,J205*(1-VLOOKUP($A206,[1]Hugst!$R$5:$W$9,MATCH(ROUNDUP((K$1)/10,0)*10,[1]Hugst!$R$4:$W$4,0))))</f>
        <v>4563.0734047754413</v>
      </c>
      <c r="L206">
        <f ca="1">IF($C206-L$1&lt;År1,0,K205*(1-VLOOKUP($A206,[1]Hugst!$R$5:$W$9,MATCH(ROUNDUP((L$1)/10,0)*10,[1]Hugst!$R$4:$W$4,0))))</f>
        <v>4560.559714539655</v>
      </c>
      <c r="M206">
        <f ca="1">IF($C206-M$1&lt;År1,0,L205*(1-VLOOKUP($A206,[1]Hugst!$R$5:$W$9,MATCH(ROUNDUP((M$1)/10,0)*10,[1]Hugst!$R$4:$W$4,0))))</f>
        <v>4558.042854630803</v>
      </c>
      <c r="N206">
        <f ca="1">IF($C206-N$1&lt;År1,0,M205*(1-VLOOKUP($A206,[1]Hugst!$R$5:$W$9,MATCH(ROUNDUP((N$1)/10,0)*10,[1]Hugst!$R$4:$W$4,0))))</f>
        <v>3240.146847894157</v>
      </c>
      <c r="O206">
        <f ca="1">IF($C206-O$1&lt;År1,0,N205*(1-VLOOKUP($A206,[1]Hugst!$R$5:$W$9,MATCH(ROUNDUP((O$1)/10,0)*10,[1]Hugst!$R$4:$W$4,0))))</f>
        <v>3237.6236633729714</v>
      </c>
      <c r="P206">
        <f ca="1">IF($C206-P$1&lt;År1,0,O205*(1-VLOOKUP($A206,[1]Hugst!$R$5:$W$9,MATCH(ROUNDUP((P$1)/10,0)*10,[1]Hugst!$R$4:$W$4,0))))</f>
        <v>3235.2084518597403</v>
      </c>
      <c r="Q206">
        <f ca="1">IF($C206-Q$1&lt;År1,0,P205*(1-VLOOKUP($A206,[1]Hugst!$R$5:$W$9,MATCH(ROUNDUP((Q$1)/10,0)*10,[1]Hugst!$R$4:$W$4,0))))</f>
        <v>3232.8117679950838</v>
      </c>
      <c r="R206">
        <f ca="1">IF($C206-R$1&lt;År1,0,Q205*(1-VLOOKUP($A206,[1]Hugst!$R$5:$W$9,MATCH(ROUNDUP((R$1)/10,0)*10,[1]Hugst!$R$4:$W$4,0))))</f>
        <v>3230.4336083922512</v>
      </c>
      <c r="S206">
        <f ca="1">IF($C206-S$1&lt;År1,0,R205*(1-VLOOKUP($A206,[1]Hugst!$R$5:$W$9,MATCH(ROUNDUP((S$1)/10,0)*10,[1]Hugst!$R$4:$W$4,0))))</f>
        <v>3228.0739697769668</v>
      </c>
      <c r="T206">
        <f ca="1">IF($C206-T$1&lt;År1,0,S205*(1-VLOOKUP($A206,[1]Hugst!$R$5:$W$9,MATCH(ROUNDUP((T$1)/10,0)*10,[1]Hugst!$R$4:$W$4,0))))</f>
        <v>3225.7328489875458</v>
      </c>
      <c r="U206">
        <f ca="1">IF($C206-U$1&lt;År1,0,T205*(1-VLOOKUP($A206,[1]Hugst!$R$5:$W$9,MATCH(ROUNDUP((U$1)/10,0)*10,[1]Hugst!$R$4:$W$4,0))))</f>
        <v>3223.4102429749196</v>
      </c>
      <c r="V206">
        <f ca="1">IF($C206-V$1&lt;År1,0,U205*(1-VLOOKUP($A206,[1]Hugst!$R$5:$W$9,MATCH(ROUNDUP((V$1)/10,0)*10,[1]Hugst!$R$4:$W$4,0))))</f>
        <v>3221.1061488027267</v>
      </c>
      <c r="W206">
        <f ca="1">IF($C206-W$1&lt;År1,0,V205*(1-VLOOKUP($A206,[1]Hugst!$R$5:$W$9,MATCH(ROUNDUP((W$1)/10,0)*10,[1]Hugst!$R$4:$W$4,0))))</f>
        <v>3218.8205636472985</v>
      </c>
      <c r="X206">
        <f ca="1">IF($C206-X$1&lt;År1,0,W205*(1-VLOOKUP($A206,[1]Hugst!$R$5:$W$9,MATCH(ROUNDUP((X$1)/10,0)*10,[1]Hugst!$R$4:$W$4,0))))</f>
        <v>3216.553484797877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70.836090915967361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4578.0887180917653</v>
      </c>
      <c r="G207">
        <f ca="1">IF($C207-G$1&lt;År1,0,F206*(1-VLOOKUP($A207,[1]Hugst!$R$5:$W$9,MATCH(ROUNDUP((G$1)/10,0)*10,[1]Hugst!$R$4:$W$4,0))))</f>
        <v>4575.5941446545203</v>
      </c>
      <c r="H207">
        <f ca="1">IF($C207-H$1&lt;År1,0,G206*(1-VLOOKUP($A207,[1]Hugst!$R$5:$W$9,MATCH(ROUNDUP((H$1)/10,0)*10,[1]Hugst!$R$4:$W$4,0))))</f>
        <v>4573.0963736697449</v>
      </c>
      <c r="I207">
        <f ca="1">IF($C207-I$1&lt;År1,0,H206*(1-VLOOKUP($A207,[1]Hugst!$R$5:$W$9,MATCH(ROUNDUP((I$1)/10,0)*10,[1]Hugst!$R$4:$W$4,0))))</f>
        <v>4570.5954096126206</v>
      </c>
      <c r="J207">
        <f ca="1">IF($C207-J$1&lt;År1,0,I206*(1-VLOOKUP($A207,[1]Hugst!$R$5:$W$9,MATCH(ROUNDUP((J$1)/10,0)*10,[1]Hugst!$R$4:$W$4,0))))</f>
        <v>4568.0912570258733</v>
      </c>
      <c r="K207">
        <f ca="1">IF($C207-K$1&lt;År1,0,J206*(1-VLOOKUP($A207,[1]Hugst!$R$5:$W$9,MATCH(ROUNDUP((K$1)/10,0)*10,[1]Hugst!$R$4:$W$4,0))))</f>
        <v>4565.5839205203265</v>
      </c>
      <c r="L207">
        <f ca="1">IF($C207-L$1&lt;År1,0,K206*(1-VLOOKUP($A207,[1]Hugst!$R$5:$W$9,MATCH(ROUNDUP((L$1)/10,0)*10,[1]Hugst!$R$4:$W$4,0))))</f>
        <v>4563.0734047754413</v>
      </c>
      <c r="M207">
        <f ca="1">IF($C207-M$1&lt;År1,0,L206*(1-VLOOKUP($A207,[1]Hugst!$R$5:$W$9,MATCH(ROUNDUP((M$1)/10,0)*10,[1]Hugst!$R$4:$W$4,0))))</f>
        <v>4560.559714539655</v>
      </c>
      <c r="N207">
        <f ca="1">IF($C207-N$1&lt;År1,0,M206*(1-VLOOKUP($A207,[1]Hugst!$R$5:$W$9,MATCH(ROUNDUP((N$1)/10,0)*10,[1]Hugst!$R$4:$W$4,0))))</f>
        <v>4558.042854630803</v>
      </c>
      <c r="O207">
        <f ca="1">IF($C207-O$1&lt;År1,0,N206*(1-VLOOKUP($A207,[1]Hugst!$R$5:$W$9,MATCH(ROUNDUP((O$1)/10,0)*10,[1]Hugst!$R$4:$W$4,0))))</f>
        <v>3240.146847894157</v>
      </c>
      <c r="P207">
        <f ca="1">IF($C207-P$1&lt;År1,0,O206*(1-VLOOKUP($A207,[1]Hugst!$R$5:$W$9,MATCH(ROUNDUP((P$1)/10,0)*10,[1]Hugst!$R$4:$W$4,0))))</f>
        <v>3230.5166845997137</v>
      </c>
      <c r="Q207">
        <f ca="1">IF($C207-Q$1&lt;År1,0,P206*(1-VLOOKUP($A207,[1]Hugst!$R$5:$W$9,MATCH(ROUNDUP((Q$1)/10,0)*10,[1]Hugst!$R$4:$W$4,0))))</f>
        <v>3228.1067747702923</v>
      </c>
      <c r="R207">
        <f ca="1">IF($C207-R$1&lt;År1,0,Q206*(1-VLOOKUP($A207,[1]Hugst!$R$5:$W$9,MATCH(ROUNDUP((R$1)/10,0)*10,[1]Hugst!$R$4:$W$4,0))))</f>
        <v>3225.7153519189969</v>
      </c>
      <c r="S207">
        <f ca="1">IF($C207-S$1&lt;År1,0,R206*(1-VLOOKUP($A207,[1]Hugst!$R$5:$W$9,MATCH(ROUNDUP((S$1)/10,0)*10,[1]Hugst!$R$4:$W$4,0))))</f>
        <v>3223.3424126665122</v>
      </c>
      <c r="T207">
        <f ca="1">IF($C207-T$1&lt;År1,0,S206*(1-VLOOKUP($A207,[1]Hugst!$R$5:$W$9,MATCH(ROUNDUP((T$1)/10,0)*10,[1]Hugst!$R$4:$W$4,0))))</f>
        <v>3220.9879537457491</v>
      </c>
      <c r="U207">
        <f ca="1">IF($C207-U$1&lt;År1,0,T206*(1-VLOOKUP($A207,[1]Hugst!$R$5:$W$9,MATCH(ROUNDUP((U$1)/10,0)*10,[1]Hugst!$R$4:$W$4,0))))</f>
        <v>3218.6519720019633</v>
      </c>
      <c r="V207">
        <f ca="1">IF($C207-V$1&lt;År1,0,U206*(1-VLOOKUP($A207,[1]Hugst!$R$5:$W$9,MATCH(ROUNDUP((V$1)/10,0)*10,[1]Hugst!$R$4:$W$4,0))))</f>
        <v>3216.3344643927794</v>
      </c>
      <c r="W207">
        <f ca="1">IF($C207-W$1&lt;År1,0,V206*(1-VLOOKUP($A207,[1]Hugst!$R$5:$W$9,MATCH(ROUNDUP((W$1)/10,0)*10,[1]Hugst!$R$4:$W$4,0))))</f>
        <v>3214.0354279882818</v>
      </c>
      <c r="X207">
        <f ca="1">IF($C207-X$1&lt;År1,0,W206*(1-VLOOKUP($A207,[1]Hugst!$R$5:$W$9,MATCH(ROUNDUP((X$1)/10,0)*10,[1]Hugst!$R$4:$W$4,0))))</f>
        <v>3211.7548599709994</v>
      </c>
      <c r="Y207">
        <f ca="1">IF($C207-Y$1&lt;År1,0,X206*(1-VLOOKUP($A207,[1]Hugst!$R$5:$W$9,MATCH(ROUNDUP((Y$1)/10,0)*10,[1]Hugst!$R$4:$W$4,0))))</f>
        <v>3209.4927576361256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74.661902082356391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4577.4646858753858</v>
      </c>
      <c r="G208">
        <f ca="1">IF($C208-G$1&lt;År1,0,F207*(1-VLOOKUP($A208,[1]Hugst!$R$5:$W$9,MATCH(ROUNDUP((G$1)/10,0)*10,[1]Hugst!$R$4:$W$4,0))))</f>
        <v>4578.0887180917653</v>
      </c>
      <c r="H208">
        <f ca="1">IF($C208-H$1&lt;År1,0,G207*(1-VLOOKUP($A208,[1]Hugst!$R$5:$W$9,MATCH(ROUNDUP((H$1)/10,0)*10,[1]Hugst!$R$4:$W$4,0))))</f>
        <v>4575.5941446545203</v>
      </c>
      <c r="I208">
        <f ca="1">IF($C208-I$1&lt;År1,0,H207*(1-VLOOKUP($A208,[1]Hugst!$R$5:$W$9,MATCH(ROUNDUP((I$1)/10,0)*10,[1]Hugst!$R$4:$W$4,0))))</f>
        <v>4573.0963736697449</v>
      </c>
      <c r="J208">
        <f ca="1">IF($C208-J$1&lt;År1,0,I207*(1-VLOOKUP($A208,[1]Hugst!$R$5:$W$9,MATCH(ROUNDUP((J$1)/10,0)*10,[1]Hugst!$R$4:$W$4,0))))</f>
        <v>4570.5954096126206</v>
      </c>
      <c r="K208">
        <f ca="1">IF($C208-K$1&lt;År1,0,J207*(1-VLOOKUP($A208,[1]Hugst!$R$5:$W$9,MATCH(ROUNDUP((K$1)/10,0)*10,[1]Hugst!$R$4:$W$4,0))))</f>
        <v>4568.0912570258733</v>
      </c>
      <c r="L208">
        <f ca="1">IF($C208-L$1&lt;År1,0,K207*(1-VLOOKUP($A208,[1]Hugst!$R$5:$W$9,MATCH(ROUNDUP((L$1)/10,0)*10,[1]Hugst!$R$4:$W$4,0))))</f>
        <v>4565.5839205203265</v>
      </c>
      <c r="M208">
        <f ca="1">IF($C208-M$1&lt;År1,0,L207*(1-VLOOKUP($A208,[1]Hugst!$R$5:$W$9,MATCH(ROUNDUP((M$1)/10,0)*10,[1]Hugst!$R$4:$W$4,0))))</f>
        <v>4563.0734047754413</v>
      </c>
      <c r="N208">
        <f ca="1">IF($C208-N$1&lt;År1,0,M207*(1-VLOOKUP($A208,[1]Hugst!$R$5:$W$9,MATCH(ROUNDUP((N$1)/10,0)*10,[1]Hugst!$R$4:$W$4,0))))</f>
        <v>4560.559714539655</v>
      </c>
      <c r="O208">
        <f ca="1">IF($C208-O$1&lt;År1,0,N207*(1-VLOOKUP($A208,[1]Hugst!$R$5:$W$9,MATCH(ROUNDUP((O$1)/10,0)*10,[1]Hugst!$R$4:$W$4,0))))</f>
        <v>4558.042854630803</v>
      </c>
      <c r="P208">
        <f ca="1">IF($C208-P$1&lt;År1,0,O207*(1-VLOOKUP($A208,[1]Hugst!$R$5:$W$9,MATCH(ROUNDUP((P$1)/10,0)*10,[1]Hugst!$R$4:$W$4,0))))</f>
        <v>3233.0343304231696</v>
      </c>
      <c r="Q208">
        <f ca="1">IF($C208-Q$1&lt;År1,0,P207*(1-VLOOKUP($A208,[1]Hugst!$R$5:$W$9,MATCH(ROUNDUP((Q$1)/10,0)*10,[1]Hugst!$R$4:$W$4,0))))</f>
        <v>3223.4253065115681</v>
      </c>
      <c r="R208">
        <f ca="1">IF($C208-R$1&lt;År1,0,Q207*(1-VLOOKUP($A208,[1]Hugst!$R$5:$W$9,MATCH(ROUNDUP((R$1)/10,0)*10,[1]Hugst!$R$4:$W$4,0))))</f>
        <v>3221.0206867281136</v>
      </c>
      <c r="S208">
        <f ca="1">IF($C208-S$1&lt;År1,0,R207*(1-VLOOKUP($A208,[1]Hugst!$R$5:$W$9,MATCH(ROUNDUP((S$1)/10,0)*10,[1]Hugst!$R$4:$W$4,0))))</f>
        <v>3218.6345133416139</v>
      </c>
      <c r="T208">
        <f ca="1">IF($C208-T$1&lt;År1,0,S207*(1-VLOOKUP($A208,[1]Hugst!$R$5:$W$9,MATCH(ROUNDUP((T$1)/10,0)*10,[1]Hugst!$R$4:$W$4,0))))</f>
        <v>3216.2667829801712</v>
      </c>
      <c r="U208">
        <f ca="1">IF($C208-U$1&lt;År1,0,T207*(1-VLOOKUP($A208,[1]Hugst!$R$5:$W$9,MATCH(ROUNDUP((U$1)/10,0)*10,[1]Hugst!$R$4:$W$4,0))))</f>
        <v>3213.9174923838682</v>
      </c>
      <c r="V208">
        <f ca="1">IF($C208-V$1&lt;År1,0,U207*(1-VLOOKUP($A208,[1]Hugst!$R$5:$W$9,MATCH(ROUNDUP((V$1)/10,0)*10,[1]Hugst!$R$4:$W$4,0))))</f>
        <v>3211.5866384048859</v>
      </c>
      <c r="W208">
        <f ca="1">IF($C208-W$1&lt;År1,0,V207*(1-VLOOKUP($A208,[1]Hugst!$R$5:$W$9,MATCH(ROUNDUP((W$1)/10,0)*10,[1]Hugst!$R$4:$W$4,0))))</f>
        <v>3209.274218007527</v>
      </c>
      <c r="X208">
        <f ca="1">IF($C208-X$1&lt;År1,0,W207*(1-VLOOKUP($A208,[1]Hugst!$R$5:$W$9,MATCH(ROUNDUP((X$1)/10,0)*10,[1]Hugst!$R$4:$W$4,0))))</f>
        <v>3206.9802282683077</v>
      </c>
      <c r="Y208">
        <f ca="1">IF($C208-Y$1&lt;År1,0,X207*(1-VLOOKUP($A208,[1]Hugst!$R$5:$W$9,MATCH(ROUNDUP((Y$1)/10,0)*10,[1]Hugst!$R$4:$W$4,0))))</f>
        <v>3204.7046663759411</v>
      </c>
      <c r="Z208">
        <f ca="1">IF($C208-Z$1&lt;År1,0,Y207*(1-VLOOKUP($A208,[1]Hugst!$R$5:$W$9,MATCH(ROUNDUP((Z$1)/10,0)*10,[1]Hugst!$R$4:$W$4,0))))</f>
        <v>3205.578742078033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81.380747440853156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4579.7559370680192</v>
      </c>
      <c r="G209">
        <f ca="1">IF($C209-G$1&lt;År1,0,F208*(1-VLOOKUP($A209,[1]Hugst!$R$5:$W$9,MATCH(ROUNDUP((G$1)/10,0)*10,[1]Hugst!$R$4:$W$4,0))))</f>
        <v>4577.4646858753858</v>
      </c>
      <c r="H209">
        <f ca="1">IF($C209-H$1&lt;År1,0,G208*(1-VLOOKUP($A209,[1]Hugst!$R$5:$W$9,MATCH(ROUNDUP((H$1)/10,0)*10,[1]Hugst!$R$4:$W$4,0))))</f>
        <v>4578.0887180917653</v>
      </c>
      <c r="I209">
        <f ca="1">IF($C209-I$1&lt;År1,0,H208*(1-VLOOKUP($A209,[1]Hugst!$R$5:$W$9,MATCH(ROUNDUP((I$1)/10,0)*10,[1]Hugst!$R$4:$W$4,0))))</f>
        <v>4575.5941446545203</v>
      </c>
      <c r="J209">
        <f ca="1">IF($C209-J$1&lt;År1,0,I208*(1-VLOOKUP($A209,[1]Hugst!$R$5:$W$9,MATCH(ROUNDUP((J$1)/10,0)*10,[1]Hugst!$R$4:$W$4,0))))</f>
        <v>4573.0963736697449</v>
      </c>
      <c r="K209">
        <f ca="1">IF($C209-K$1&lt;År1,0,J208*(1-VLOOKUP($A209,[1]Hugst!$R$5:$W$9,MATCH(ROUNDUP((K$1)/10,0)*10,[1]Hugst!$R$4:$W$4,0))))</f>
        <v>4570.5954096126206</v>
      </c>
      <c r="L209">
        <f ca="1">IF($C209-L$1&lt;År1,0,K208*(1-VLOOKUP($A209,[1]Hugst!$R$5:$W$9,MATCH(ROUNDUP((L$1)/10,0)*10,[1]Hugst!$R$4:$W$4,0))))</f>
        <v>4568.0912570258733</v>
      </c>
      <c r="M209">
        <f ca="1">IF($C209-M$1&lt;År1,0,L208*(1-VLOOKUP($A209,[1]Hugst!$R$5:$W$9,MATCH(ROUNDUP((M$1)/10,0)*10,[1]Hugst!$R$4:$W$4,0))))</f>
        <v>4565.5839205203265</v>
      </c>
      <c r="N209">
        <f ca="1">IF($C209-N$1&lt;År1,0,M208*(1-VLOOKUP($A209,[1]Hugst!$R$5:$W$9,MATCH(ROUNDUP((N$1)/10,0)*10,[1]Hugst!$R$4:$W$4,0))))</f>
        <v>4563.0734047754413</v>
      </c>
      <c r="O209">
        <f ca="1">IF($C209-O$1&lt;År1,0,N208*(1-VLOOKUP($A209,[1]Hugst!$R$5:$W$9,MATCH(ROUNDUP((O$1)/10,0)*10,[1]Hugst!$R$4:$W$4,0))))</f>
        <v>4560.559714539655</v>
      </c>
      <c r="P209">
        <f ca="1">IF($C209-P$1&lt;År1,0,O208*(1-VLOOKUP($A209,[1]Hugst!$R$5:$W$9,MATCH(ROUNDUP((P$1)/10,0)*10,[1]Hugst!$R$4:$W$4,0))))</f>
        <v>4548.0373947060034</v>
      </c>
      <c r="Q209">
        <f ca="1">IF($C209-Q$1&lt;År1,0,P208*(1-VLOOKUP($A209,[1]Hugst!$R$5:$W$9,MATCH(ROUNDUP((Q$1)/10,0)*10,[1]Hugst!$R$4:$W$4,0))))</f>
        <v>3225.9374257954114</v>
      </c>
      <c r="R209">
        <f ca="1">IF($C209-R$1&lt;År1,0,Q208*(1-VLOOKUP($A209,[1]Hugst!$R$5:$W$9,MATCH(ROUNDUP((R$1)/10,0)*10,[1]Hugst!$R$4:$W$4,0))))</f>
        <v>3216.3494948631283</v>
      </c>
      <c r="S209">
        <f ca="1">IF($C209-S$1&lt;År1,0,R208*(1-VLOOKUP($A209,[1]Hugst!$R$5:$W$9,MATCH(ROUNDUP((S$1)/10,0)*10,[1]Hugst!$R$4:$W$4,0))))</f>
        <v>3213.9501535133445</v>
      </c>
      <c r="T209">
        <f ca="1">IF($C209-T$1&lt;År1,0,S208*(1-VLOOKUP($A209,[1]Hugst!$R$5:$W$9,MATCH(ROUNDUP((T$1)/10,0)*10,[1]Hugst!$R$4:$W$4,0))))</f>
        <v>3211.569218068425</v>
      </c>
      <c r="U209">
        <f ca="1">IF($C209-U$1&lt;År1,0,T208*(1-VLOOKUP($A209,[1]Hugst!$R$5:$W$9,MATCH(ROUNDUP((U$1)/10,0)*10,[1]Hugst!$R$4:$W$4,0))))</f>
        <v>3209.2066851638733</v>
      </c>
      <c r="V209">
        <f ca="1">IF($C209-V$1&lt;År1,0,U208*(1-VLOOKUP($A209,[1]Hugst!$R$5:$W$9,MATCH(ROUNDUP((V$1)/10,0)*10,[1]Hugst!$R$4:$W$4,0))))</f>
        <v>3206.862551546928</v>
      </c>
      <c r="W209">
        <f ca="1">IF($C209-W$1&lt;År1,0,V208*(1-VLOOKUP($A209,[1]Hugst!$R$5:$W$9,MATCH(ROUNDUP((W$1)/10,0)*10,[1]Hugst!$R$4:$W$4,0))))</f>
        <v>3204.53681407668</v>
      </c>
      <c r="X209">
        <f ca="1">IF($C209-X$1&lt;År1,0,W208*(1-VLOOKUP($A209,[1]Hugst!$R$5:$W$9,MATCH(ROUNDUP((X$1)/10,0)*10,[1]Hugst!$R$4:$W$4,0))))</f>
        <v>3202.2294697240959</v>
      </c>
      <c r="Y209">
        <f ca="1">IF($C209-Y$1&lt;År1,0,X208*(1-VLOOKUP($A209,[1]Hugst!$R$5:$W$9,MATCH(ROUNDUP((Y$1)/10,0)*10,[1]Hugst!$R$4:$W$4,0))))</f>
        <v>3199.9405155721088</v>
      </c>
      <c r="Z209">
        <f ca="1">IF($C209-Z$1&lt;År1,0,Y208*(1-VLOOKUP($A209,[1]Hugst!$R$5:$W$9,MATCH(ROUNDUP((Z$1)/10,0)*10,[1]Hugst!$R$4:$W$4,0))))</f>
        <v>3200.7964899535314</v>
      </c>
      <c r="AA209">
        <f ca="1">IF($C209-AA$1&lt;År1,0,Z208*(1-VLOOKUP($A209,[1]Hugst!$R$5:$W$9,MATCH(ROUNDUP((AA$1)/10,0)*10,[1]Hugst!$R$4:$W$4,0))))</f>
        <v>3201.6694997096452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88.098825079068774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4582.0685585111696</v>
      </c>
      <c r="G210">
        <f ca="1">IF($C210-G$1&lt;År1,0,F209*(1-VLOOKUP($A210,[1]Hugst!$R$5:$W$9,MATCH(ROUNDUP((G$1)/10,0)*10,[1]Hugst!$R$4:$W$4,0))))</f>
        <v>4579.7559370680192</v>
      </c>
      <c r="H210">
        <f ca="1">IF($C210-H$1&lt;År1,0,G209*(1-VLOOKUP($A210,[1]Hugst!$R$5:$W$9,MATCH(ROUNDUP((H$1)/10,0)*10,[1]Hugst!$R$4:$W$4,0))))</f>
        <v>4577.4646858753858</v>
      </c>
      <c r="I210">
        <f ca="1">IF($C210-I$1&lt;År1,0,H209*(1-VLOOKUP($A210,[1]Hugst!$R$5:$W$9,MATCH(ROUNDUP((I$1)/10,0)*10,[1]Hugst!$R$4:$W$4,0))))</f>
        <v>4578.0887180917653</v>
      </c>
      <c r="J210">
        <f ca="1">IF($C210-J$1&lt;År1,0,I209*(1-VLOOKUP($A210,[1]Hugst!$R$5:$W$9,MATCH(ROUNDUP((J$1)/10,0)*10,[1]Hugst!$R$4:$W$4,0))))</f>
        <v>4575.5941446545203</v>
      </c>
      <c r="K210">
        <f ca="1">IF($C210-K$1&lt;År1,0,J209*(1-VLOOKUP($A210,[1]Hugst!$R$5:$W$9,MATCH(ROUNDUP((K$1)/10,0)*10,[1]Hugst!$R$4:$W$4,0))))</f>
        <v>4573.0963736697449</v>
      </c>
      <c r="L210">
        <f ca="1">IF($C210-L$1&lt;År1,0,K209*(1-VLOOKUP($A210,[1]Hugst!$R$5:$W$9,MATCH(ROUNDUP((L$1)/10,0)*10,[1]Hugst!$R$4:$W$4,0))))</f>
        <v>4570.5954096126206</v>
      </c>
      <c r="M210">
        <f ca="1">IF($C210-M$1&lt;År1,0,L209*(1-VLOOKUP($A210,[1]Hugst!$R$5:$W$9,MATCH(ROUNDUP((M$1)/10,0)*10,[1]Hugst!$R$4:$W$4,0))))</f>
        <v>4568.0912570258733</v>
      </c>
      <c r="N210">
        <f ca="1">IF($C210-N$1&lt;År1,0,M209*(1-VLOOKUP($A210,[1]Hugst!$R$5:$W$9,MATCH(ROUNDUP((N$1)/10,0)*10,[1]Hugst!$R$4:$W$4,0))))</f>
        <v>4565.5839205203265</v>
      </c>
      <c r="O210">
        <f ca="1">IF($C210-O$1&lt;År1,0,N209*(1-VLOOKUP($A210,[1]Hugst!$R$5:$W$9,MATCH(ROUNDUP((O$1)/10,0)*10,[1]Hugst!$R$4:$W$4,0))))</f>
        <v>4563.0734047754413</v>
      </c>
      <c r="P210">
        <f ca="1">IF($C210-P$1&lt;År1,0,O209*(1-VLOOKUP($A210,[1]Hugst!$R$5:$W$9,MATCH(ROUNDUP((P$1)/10,0)*10,[1]Hugst!$R$4:$W$4,0))))</f>
        <v>4550.5487298004218</v>
      </c>
      <c r="Q210">
        <f ca="1">IF($C210-Q$1&lt;År1,0,P209*(1-VLOOKUP($A210,[1]Hugst!$R$5:$W$9,MATCH(ROUNDUP((Q$1)/10,0)*10,[1]Hugst!$R$4:$W$4,0))))</f>
        <v>4538.0538979859166</v>
      </c>
      <c r="R210">
        <f ca="1">IF($C210-R$1&lt;År1,0,Q209*(1-VLOOKUP($A210,[1]Hugst!$R$5:$W$9,MATCH(ROUNDUP((R$1)/10,0)*10,[1]Hugst!$R$4:$W$4,0))))</f>
        <v>3218.8560997387872</v>
      </c>
      <c r="S210">
        <f ca="1">IF($C210-S$1&lt;År1,0,R209*(1-VLOOKUP($A210,[1]Hugst!$R$5:$W$9,MATCH(ROUNDUP((S$1)/10,0)*10,[1]Hugst!$R$4:$W$4,0))))</f>
        <v>3209.2892154841602</v>
      </c>
      <c r="T210">
        <f ca="1">IF($C210-T$1&lt;År1,0,S209*(1-VLOOKUP($A210,[1]Hugst!$R$5:$W$9,MATCH(ROUNDUP((T$1)/10,0)*10,[1]Hugst!$R$4:$W$4,0))))</f>
        <v>3206.8951409812421</v>
      </c>
      <c r="U210">
        <f ca="1">IF($C210-U$1&lt;År1,0,T209*(1-VLOOKUP($A210,[1]Hugst!$R$5:$W$9,MATCH(ROUNDUP((U$1)/10,0)*10,[1]Hugst!$R$4:$W$4,0))))</f>
        <v>3204.5194319799821</v>
      </c>
      <c r="V210">
        <f ca="1">IF($C210-V$1&lt;År1,0,U209*(1-VLOOKUP($A210,[1]Hugst!$R$5:$W$9,MATCH(ROUNDUP((V$1)/10,0)*10,[1]Hugst!$R$4:$W$4,0))))</f>
        <v>3202.1620851232697</v>
      </c>
      <c r="W210">
        <f ca="1">IF($C210-W$1&lt;År1,0,V209*(1-VLOOKUP($A210,[1]Hugst!$R$5:$W$9,MATCH(ROUNDUP((W$1)/10,0)*10,[1]Hugst!$R$4:$W$4,0))))</f>
        <v>3199.8230971654834</v>
      </c>
      <c r="X210">
        <f ca="1">IF($C210-X$1&lt;År1,0,W209*(1-VLOOKUP($A210,[1]Hugst!$R$5:$W$9,MATCH(ROUNDUP((X$1)/10,0)*10,[1]Hugst!$R$4:$W$4,0))))</f>
        <v>3197.5024649726092</v>
      </c>
      <c r="Y210">
        <f ca="1">IF($C210-Y$1&lt;År1,0,X209*(1-VLOOKUP($A210,[1]Hugst!$R$5:$W$9,MATCH(ROUNDUP((Y$1)/10,0)*10,[1]Hugst!$R$4:$W$4,0))))</f>
        <v>3195.2001855222625</v>
      </c>
      <c r="Z210">
        <f ca="1">IF($C210-Z$1&lt;År1,0,Y209*(1-VLOOKUP($A210,[1]Hugst!$R$5:$W$9,MATCH(ROUNDUP((Z$1)/10,0)*10,[1]Hugst!$R$4:$W$4,0))))</f>
        <v>3196.0381490897039</v>
      </c>
      <c r="AA210">
        <f ca="1">IF($C210-AA$1&lt;År1,0,Z209*(1-VLOOKUP($A210,[1]Hugst!$R$5:$W$9,MATCH(ROUNDUP((AA$1)/10,0)*10,[1]Hugst!$R$4:$W$4,0))))</f>
        <v>3196.8930795999295</v>
      </c>
      <c r="AB210">
        <f ca="1">IF($C210-AB$1&lt;År1,0,AA209*(1-VLOOKUP($A210,[1]Hugst!$R$5:$W$9,MATCH(ROUNDUP((AB$1)/10,0)*10,[1]Hugst!$R$4:$W$4,0))))</f>
        <v>3197.7650247099991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94.81609617236245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4584.4024006903801</v>
      </c>
      <c r="G211">
        <f ca="1">IF($C211-G$1&lt;År1,0,F210*(1-VLOOKUP($A211,[1]Hugst!$R$5:$W$9,MATCH(ROUNDUP((G$1)/10,0)*10,[1]Hugst!$R$4:$W$4,0))))</f>
        <v>4582.0685585111696</v>
      </c>
      <c r="H211">
        <f ca="1">IF($C211-H$1&lt;År1,0,G210*(1-VLOOKUP($A211,[1]Hugst!$R$5:$W$9,MATCH(ROUNDUP((H$1)/10,0)*10,[1]Hugst!$R$4:$W$4,0))))</f>
        <v>4579.7559370680192</v>
      </c>
      <c r="I211">
        <f ca="1">IF($C211-I$1&lt;År1,0,H210*(1-VLOOKUP($A211,[1]Hugst!$R$5:$W$9,MATCH(ROUNDUP((I$1)/10,0)*10,[1]Hugst!$R$4:$W$4,0))))</f>
        <v>4577.4646858753858</v>
      </c>
      <c r="J211">
        <f ca="1">IF($C211-J$1&lt;År1,0,I210*(1-VLOOKUP($A211,[1]Hugst!$R$5:$W$9,MATCH(ROUNDUP((J$1)/10,0)*10,[1]Hugst!$R$4:$W$4,0))))</f>
        <v>4578.0887180917653</v>
      </c>
      <c r="K211">
        <f ca="1">IF($C211-K$1&lt;År1,0,J210*(1-VLOOKUP($A211,[1]Hugst!$R$5:$W$9,MATCH(ROUNDUP((K$1)/10,0)*10,[1]Hugst!$R$4:$W$4,0))))</f>
        <v>4575.5941446545203</v>
      </c>
      <c r="L211">
        <f ca="1">IF($C211-L$1&lt;År1,0,K210*(1-VLOOKUP($A211,[1]Hugst!$R$5:$W$9,MATCH(ROUNDUP((L$1)/10,0)*10,[1]Hugst!$R$4:$W$4,0))))</f>
        <v>4573.0963736697449</v>
      </c>
      <c r="M211">
        <f ca="1">IF($C211-M$1&lt;År1,0,L210*(1-VLOOKUP($A211,[1]Hugst!$R$5:$W$9,MATCH(ROUNDUP((M$1)/10,0)*10,[1]Hugst!$R$4:$W$4,0))))</f>
        <v>4570.5954096126206</v>
      </c>
      <c r="N211">
        <f ca="1">IF($C211-N$1&lt;År1,0,M210*(1-VLOOKUP($A211,[1]Hugst!$R$5:$W$9,MATCH(ROUNDUP((N$1)/10,0)*10,[1]Hugst!$R$4:$W$4,0))))</f>
        <v>4568.0912570258733</v>
      </c>
      <c r="O211">
        <f ca="1">IF($C211-O$1&lt;År1,0,N210*(1-VLOOKUP($A211,[1]Hugst!$R$5:$W$9,MATCH(ROUNDUP((O$1)/10,0)*10,[1]Hugst!$R$4:$W$4,0))))</f>
        <v>4565.5839205203265</v>
      </c>
      <c r="P211">
        <f ca="1">IF($C211-P$1&lt;År1,0,O210*(1-VLOOKUP($A211,[1]Hugst!$R$5:$W$9,MATCH(ROUNDUP((P$1)/10,0)*10,[1]Hugst!$R$4:$W$4,0))))</f>
        <v>4553.0569021795927</v>
      </c>
      <c r="Q211">
        <f ca="1">IF($C211-Q$1&lt;År1,0,P210*(1-VLOOKUP($A211,[1]Hugst!$R$5:$W$9,MATCH(ROUNDUP((Q$1)/10,0)*10,[1]Hugst!$R$4:$W$4,0))))</f>
        <v>4540.5597203935431</v>
      </c>
      <c r="R211">
        <f ca="1">IF($C211-R$1&lt;År1,0,Q210*(1-VLOOKUP($A211,[1]Hugst!$R$5:$W$9,MATCH(ROUNDUP((R$1)/10,0)*10,[1]Hugst!$R$4:$W$4,0))))</f>
        <v>4528.0923162586305</v>
      </c>
      <c r="S211">
        <f ca="1">IF($C211-S$1&lt;År1,0,R210*(1-VLOOKUP($A211,[1]Hugst!$R$5:$W$9,MATCH(ROUNDUP((S$1)/10,0)*10,[1]Hugst!$R$4:$W$4,0))))</f>
        <v>3211.7903180564335</v>
      </c>
      <c r="T211">
        <f ca="1">IF($C211-T$1&lt;År1,0,S210*(1-VLOOKUP($A211,[1]Hugst!$R$5:$W$9,MATCH(ROUNDUP((T$1)/10,0)*10,[1]Hugst!$R$4:$W$4,0))))</f>
        <v>3202.2444342794388</v>
      </c>
      <c r="U211">
        <f ca="1">IF($C211-U$1&lt;År1,0,T210*(1-VLOOKUP($A211,[1]Hugst!$R$5:$W$9,MATCH(ROUNDUP((U$1)/10,0)*10,[1]Hugst!$R$4:$W$4,0))))</f>
        <v>3199.8556150620147</v>
      </c>
      <c r="V211">
        <f ca="1">IF($C211-V$1&lt;År1,0,U210*(1-VLOOKUP($A211,[1]Hugst!$R$5:$W$9,MATCH(ROUNDUP((V$1)/10,0)*10,[1]Hugst!$R$4:$W$4,0))))</f>
        <v>3197.4851210317333</v>
      </c>
      <c r="W211">
        <f ca="1">IF($C211-W$1&lt;År1,0,V210*(1-VLOOKUP($A211,[1]Hugst!$R$5:$W$9,MATCH(ROUNDUP((W$1)/10,0)*10,[1]Hugst!$R$4:$W$4,0))))</f>
        <v>3195.1329488388528</v>
      </c>
      <c r="X211">
        <f ca="1">IF($C211-X$1&lt;År1,0,W210*(1-VLOOKUP($A211,[1]Hugst!$R$5:$W$9,MATCH(ROUNDUP((X$1)/10,0)*10,[1]Hugst!$R$4:$W$4,0))))</f>
        <v>3192.7990952448763</v>
      </c>
      <c r="Y211">
        <f ca="1">IF($C211-Y$1&lt;År1,0,X210*(1-VLOOKUP($A211,[1]Hugst!$R$5:$W$9,MATCH(ROUNDUP((Y$1)/10,0)*10,[1]Hugst!$R$4:$W$4,0))))</f>
        <v>3190.4835571226695</v>
      </c>
      <c r="Z211">
        <f ca="1">IF($C211-Z$1&lt;År1,0,Y210*(1-VLOOKUP($A211,[1]Hugst!$R$5:$W$9,MATCH(ROUNDUP((Z$1)/10,0)*10,[1]Hugst!$R$4:$W$4,0))))</f>
        <v>3191.3035999301624</v>
      </c>
      <c r="AA211">
        <f ca="1">IF($C211-AA$1&lt;År1,0,Z210*(1-VLOOKUP($A211,[1]Hugst!$R$5:$W$9,MATCH(ROUNDUP((AA$1)/10,0)*10,[1]Hugst!$R$4:$W$4,0))))</f>
        <v>3192.1405415908139</v>
      </c>
      <c r="AB211">
        <f ca="1">IF($C211-AB$1&lt;År1,0,AA210*(1-VLOOKUP($A211,[1]Hugst!$R$5:$W$9,MATCH(ROUNDUP((AB$1)/10,0)*10,[1]Hugst!$R$4:$W$4,0))))</f>
        <v>3192.9944295028563</v>
      </c>
      <c r="AC211">
        <f ca="1">IF($C211-AC$1&lt;År1,0,AB210*(1-VLOOKUP($A211,[1]Hugst!$R$5:$W$9,MATCH(ROUNDUP((AC$1)/10,0)*10,[1]Hugst!$R$4:$W$4,0))))</f>
        <v>3193.865311265231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101.53252212773077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4586.7573148762513</v>
      </c>
      <c r="G212">
        <f ca="1">IF($C212-G$1&lt;År1,0,F211*(1-VLOOKUP($A212,[1]Hugst!$R$5:$W$9,MATCH(ROUNDUP((G$1)/10,0)*10,[1]Hugst!$R$4:$W$4,0))))</f>
        <v>4584.4024006903801</v>
      </c>
      <c r="H212">
        <f ca="1">IF($C212-H$1&lt;År1,0,G211*(1-VLOOKUP($A212,[1]Hugst!$R$5:$W$9,MATCH(ROUNDUP((H$1)/10,0)*10,[1]Hugst!$R$4:$W$4,0))))</f>
        <v>4582.0685585111696</v>
      </c>
      <c r="I212">
        <f ca="1">IF($C212-I$1&lt;År1,0,H211*(1-VLOOKUP($A212,[1]Hugst!$R$5:$W$9,MATCH(ROUNDUP((I$1)/10,0)*10,[1]Hugst!$R$4:$W$4,0))))</f>
        <v>4579.7559370680192</v>
      </c>
      <c r="J212">
        <f ca="1">IF($C212-J$1&lt;År1,0,I211*(1-VLOOKUP($A212,[1]Hugst!$R$5:$W$9,MATCH(ROUNDUP((J$1)/10,0)*10,[1]Hugst!$R$4:$W$4,0))))</f>
        <v>4577.4646858753858</v>
      </c>
      <c r="K212">
        <f ca="1">IF($C212-K$1&lt;År1,0,J211*(1-VLOOKUP($A212,[1]Hugst!$R$5:$W$9,MATCH(ROUNDUP((K$1)/10,0)*10,[1]Hugst!$R$4:$W$4,0))))</f>
        <v>4578.0887180917653</v>
      </c>
      <c r="L212">
        <f ca="1">IF($C212-L$1&lt;År1,0,K211*(1-VLOOKUP($A212,[1]Hugst!$R$5:$W$9,MATCH(ROUNDUP((L$1)/10,0)*10,[1]Hugst!$R$4:$W$4,0))))</f>
        <v>4575.5941446545203</v>
      </c>
      <c r="M212">
        <f ca="1">IF($C212-M$1&lt;År1,0,L211*(1-VLOOKUP($A212,[1]Hugst!$R$5:$W$9,MATCH(ROUNDUP((M$1)/10,0)*10,[1]Hugst!$R$4:$W$4,0))))</f>
        <v>4573.0963736697449</v>
      </c>
      <c r="N212">
        <f ca="1">IF($C212-N$1&lt;År1,0,M211*(1-VLOOKUP($A212,[1]Hugst!$R$5:$W$9,MATCH(ROUNDUP((N$1)/10,0)*10,[1]Hugst!$R$4:$W$4,0))))</f>
        <v>4570.5954096126206</v>
      </c>
      <c r="O212">
        <f ca="1">IF($C212-O$1&lt;År1,0,N211*(1-VLOOKUP($A212,[1]Hugst!$R$5:$W$9,MATCH(ROUNDUP((O$1)/10,0)*10,[1]Hugst!$R$4:$W$4,0))))</f>
        <v>4568.0912570258733</v>
      </c>
      <c r="P212">
        <f ca="1">IF($C212-P$1&lt;År1,0,O211*(1-VLOOKUP($A212,[1]Hugst!$R$5:$W$9,MATCH(ROUNDUP((P$1)/10,0)*10,[1]Hugst!$R$4:$W$4,0))))</f>
        <v>4555.5619070362573</v>
      </c>
      <c r="Q212">
        <f ca="1">IF($C212-Q$1&lt;År1,0,P211*(1-VLOOKUP($A212,[1]Hugst!$R$5:$W$9,MATCH(ROUNDUP((Q$1)/10,0)*10,[1]Hugst!$R$4:$W$4,0))))</f>
        <v>4543.0623870284671</v>
      </c>
      <c r="R212">
        <f ca="1">IF($C212-R$1&lt;År1,0,Q211*(1-VLOOKUP($A212,[1]Hugst!$R$5:$W$9,MATCH(ROUNDUP((R$1)/10,0)*10,[1]Hugst!$R$4:$W$4,0))))</f>
        <v>4530.592638080484</v>
      </c>
      <c r="S212">
        <f ca="1">IF($C212-S$1&lt;År1,0,R211*(1-VLOOKUP($A212,[1]Hugst!$R$5:$W$9,MATCH(ROUNDUP((S$1)/10,0)*10,[1]Hugst!$R$4:$W$4,0))))</f>
        <v>4518.1526014180627</v>
      </c>
      <c r="T212">
        <f ca="1">IF($C212-T$1&lt;År1,0,S211*(1-VLOOKUP($A212,[1]Hugst!$R$5:$W$9,MATCH(ROUNDUP((T$1)/10,0)*10,[1]Hugst!$R$4:$W$4,0))))</f>
        <v>3204.7400466265535</v>
      </c>
      <c r="U212">
        <f ca="1">IF($C212-U$1&lt;År1,0,T211*(1-VLOOKUP($A212,[1]Hugst!$R$5:$W$9,MATCH(ROUNDUP((U$1)/10,0)*10,[1]Hugst!$R$4:$W$4,0))))</f>
        <v>3195.2151172285817</v>
      </c>
      <c r="V212">
        <f ca="1">IF($C212-V$1&lt;År1,0,U211*(1-VLOOKUP($A212,[1]Hugst!$R$5:$W$9,MATCH(ROUNDUP((V$1)/10,0)*10,[1]Hugst!$R$4:$W$4,0))))</f>
        <v>3192.8315417606591</v>
      </c>
      <c r="W212">
        <f ca="1">IF($C212-W$1&lt;År1,0,V211*(1-VLOOKUP($A212,[1]Hugst!$R$5:$W$9,MATCH(ROUNDUP((W$1)/10,0)*10,[1]Hugst!$R$4:$W$4,0))))</f>
        <v>3190.4662512538589</v>
      </c>
      <c r="X212">
        <f ca="1">IF($C212-X$1&lt;År1,0,W211*(1-VLOOKUP($A212,[1]Hugst!$R$5:$W$9,MATCH(ROUNDUP((X$1)/10,0)*10,[1]Hugst!$R$4:$W$4,0))))</f>
        <v>3188.1192423657917</v>
      </c>
      <c r="Y212">
        <f ca="1">IF($C212-Y$1&lt;År1,0,X211*(1-VLOOKUP($A212,[1]Hugst!$R$5:$W$9,MATCH(ROUNDUP((Y$1)/10,0)*10,[1]Hugst!$R$4:$W$4,0))))</f>
        <v>3185.7905118650706</v>
      </c>
      <c r="Z212">
        <f ca="1">IF($C212-Z$1&lt;År1,0,Y211*(1-VLOOKUP($A212,[1]Hugst!$R$5:$W$9,MATCH(ROUNDUP((Z$1)/10,0)*10,[1]Hugst!$R$4:$W$4,0))))</f>
        <v>3186.5927235164222</v>
      </c>
      <c r="AA212">
        <f ca="1">IF($C212-AA$1&lt;År1,0,Z211*(1-VLOOKUP($A212,[1]Hugst!$R$5:$W$9,MATCH(ROUNDUP((AA$1)/10,0)*10,[1]Hugst!$R$4:$W$4,0))))</f>
        <v>3187.4117662717108</v>
      </c>
      <c r="AB212">
        <f ca="1">IF($C212-AB$1&lt;År1,0,AA211*(1-VLOOKUP($A212,[1]Hugst!$R$5:$W$9,MATCH(ROUNDUP((AB$1)/10,0)*10,[1]Hugst!$R$4:$W$4,0))))</f>
        <v>3188.2476872718007</v>
      </c>
      <c r="AC212">
        <f ca="1">IF($C212-AC$1&lt;År1,0,AB211*(1-VLOOKUP($A212,[1]Hugst!$R$5:$W$9,MATCH(ROUNDUP((AC$1)/10,0)*10,[1]Hugst!$R$4:$W$4,0))))</f>
        <v>3189.1005338571213</v>
      </c>
      <c r="AD212">
        <f ca="1">IF($C212-AD$1&lt;År1,0,AC211*(1-VLOOKUP($A212,[1]Hugst!$R$5:$W$9,MATCH(ROUNDUP((AD$1)/10,0)*10,[1]Hugst!$R$4:$W$4,0))))</f>
        <v>3189.9703535685662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108.24806458300736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4589.1331531208689</v>
      </c>
      <c r="G213">
        <f ca="1">IF($C213-G$1&lt;År1,0,F212*(1-VLOOKUP($A213,[1]Hugst!$R$5:$W$9,MATCH(ROUNDUP((G$1)/10,0)*10,[1]Hugst!$R$4:$W$4,0))))</f>
        <v>4586.7573148762513</v>
      </c>
      <c r="H213">
        <f ca="1">IF($C213-H$1&lt;År1,0,G212*(1-VLOOKUP($A213,[1]Hugst!$R$5:$W$9,MATCH(ROUNDUP((H$1)/10,0)*10,[1]Hugst!$R$4:$W$4,0))))</f>
        <v>4584.4024006903801</v>
      </c>
      <c r="I213">
        <f ca="1">IF($C213-I$1&lt;År1,0,H212*(1-VLOOKUP($A213,[1]Hugst!$R$5:$W$9,MATCH(ROUNDUP((I$1)/10,0)*10,[1]Hugst!$R$4:$W$4,0))))</f>
        <v>4582.0685585111696</v>
      </c>
      <c r="J213">
        <f ca="1">IF($C213-J$1&lt;År1,0,I212*(1-VLOOKUP($A213,[1]Hugst!$R$5:$W$9,MATCH(ROUNDUP((J$1)/10,0)*10,[1]Hugst!$R$4:$W$4,0))))</f>
        <v>4579.7559370680192</v>
      </c>
      <c r="K213">
        <f ca="1">IF($C213-K$1&lt;År1,0,J212*(1-VLOOKUP($A213,[1]Hugst!$R$5:$W$9,MATCH(ROUNDUP((K$1)/10,0)*10,[1]Hugst!$R$4:$W$4,0))))</f>
        <v>4577.4646858753858</v>
      </c>
      <c r="L213">
        <f ca="1">IF($C213-L$1&lt;År1,0,K212*(1-VLOOKUP($A213,[1]Hugst!$R$5:$W$9,MATCH(ROUNDUP((L$1)/10,0)*10,[1]Hugst!$R$4:$W$4,0))))</f>
        <v>4578.0887180917653</v>
      </c>
      <c r="M213">
        <f ca="1">IF($C213-M$1&lt;År1,0,L212*(1-VLOOKUP($A213,[1]Hugst!$R$5:$W$9,MATCH(ROUNDUP((M$1)/10,0)*10,[1]Hugst!$R$4:$W$4,0))))</f>
        <v>4575.5941446545203</v>
      </c>
      <c r="N213">
        <f ca="1">IF($C213-N$1&lt;År1,0,M212*(1-VLOOKUP($A213,[1]Hugst!$R$5:$W$9,MATCH(ROUNDUP((N$1)/10,0)*10,[1]Hugst!$R$4:$W$4,0))))</f>
        <v>4573.0963736697449</v>
      </c>
      <c r="O213">
        <f ca="1">IF($C213-O$1&lt;År1,0,N212*(1-VLOOKUP($A213,[1]Hugst!$R$5:$W$9,MATCH(ROUNDUP((O$1)/10,0)*10,[1]Hugst!$R$4:$W$4,0))))</f>
        <v>4570.5954096126206</v>
      </c>
      <c r="P213">
        <f ca="1">IF($C213-P$1&lt;År1,0,O212*(1-VLOOKUP($A213,[1]Hugst!$R$5:$W$9,MATCH(ROUNDUP((P$1)/10,0)*10,[1]Hugst!$R$4:$W$4,0))))</f>
        <v>4558.0637396324018</v>
      </c>
      <c r="Q213">
        <f ca="1">IF($C213-Q$1&lt;År1,0,P212*(1-VLOOKUP($A213,[1]Hugst!$R$5:$W$9,MATCH(ROUNDUP((Q$1)/10,0)*10,[1]Hugst!$R$4:$W$4,0))))</f>
        <v>4545.5618930939827</v>
      </c>
      <c r="R213">
        <f ca="1">IF($C213-R$1&lt;År1,0,Q212*(1-VLOOKUP($A213,[1]Hugst!$R$5:$W$9,MATCH(ROUNDUP((R$1)/10,0)*10,[1]Hugst!$R$4:$W$4,0))))</f>
        <v>4533.0898110569415</v>
      </c>
      <c r="S213">
        <f ca="1">IF($C213-S$1&lt;År1,0,R212*(1-VLOOKUP($A213,[1]Hugst!$R$5:$W$9,MATCH(ROUNDUP((S$1)/10,0)*10,[1]Hugst!$R$4:$W$4,0))))</f>
        <v>4520.6474347286003</v>
      </c>
      <c r="T213">
        <f ca="1">IF($C213-T$1&lt;År1,0,S212*(1-VLOOKUP($A213,[1]Hugst!$R$5:$W$9,MATCH(ROUNDUP((T$1)/10,0)*10,[1]Hugst!$R$4:$W$4,0))))</f>
        <v>4508.2347054637303</v>
      </c>
      <c r="U213">
        <f ca="1">IF($C213-U$1&lt;År1,0,T212*(1-VLOOKUP($A213,[1]Hugst!$R$5:$W$9,MATCH(ROUNDUP((U$1)/10,0)*10,[1]Hugst!$R$4:$W$4,0))))</f>
        <v>3197.7052514022512</v>
      </c>
      <c r="V213">
        <f ca="1">IF($C213-V$1&lt;År1,0,U212*(1-VLOOKUP($A213,[1]Hugst!$R$5:$W$9,MATCH(ROUNDUP((V$1)/10,0)*10,[1]Hugst!$R$4:$W$4,0))))</f>
        <v>3188.2012303858846</v>
      </c>
      <c r="W213">
        <f ca="1">IF($C213-W$1&lt;År1,0,V212*(1-VLOOKUP($A213,[1]Hugst!$R$5:$W$9,MATCH(ROUNDUP((W$1)/10,0)*10,[1]Hugst!$R$4:$W$4,0))))</f>
        <v>3185.8228871567944</v>
      </c>
      <c r="X213">
        <f ca="1">IF($C213-X$1&lt;År1,0,W212*(1-VLOOKUP($A213,[1]Hugst!$R$5:$W$9,MATCH(ROUNDUP((X$1)/10,0)*10,[1]Hugst!$R$4:$W$4,0))))</f>
        <v>3183.4627887511065</v>
      </c>
      <c r="Y213">
        <f ca="1">IF($C213-Y$1&lt;År1,0,X212*(1-VLOOKUP($A213,[1]Hugst!$R$5:$W$9,MATCH(ROUNDUP((Y$1)/10,0)*10,[1]Hugst!$R$4:$W$4,0))))</f>
        <v>3181.1209318337692</v>
      </c>
      <c r="Z213">
        <f ca="1">IF($C213-Z$1&lt;År1,0,Y212*(1-VLOOKUP($A213,[1]Hugst!$R$5:$W$9,MATCH(ROUNDUP((Z$1)/10,0)*10,[1]Hugst!$R$4:$W$4,0))))</f>
        <v>3181.9054014847475</v>
      </c>
      <c r="AA213">
        <f ca="1">IF($C213-AA$1&lt;År1,0,Z212*(1-VLOOKUP($A213,[1]Hugst!$R$5:$W$9,MATCH(ROUNDUP((AA$1)/10,0)*10,[1]Hugst!$R$4:$W$4,0))))</f>
        <v>3182.7066348292069</v>
      </c>
      <c r="AB213">
        <f ca="1">IF($C213-AB$1&lt;År1,0,AA212*(1-VLOOKUP($A213,[1]Hugst!$R$5:$W$9,MATCH(ROUNDUP((AB$1)/10,0)*10,[1]Hugst!$R$4:$W$4,0))))</f>
        <v>3183.5246787518672</v>
      </c>
      <c r="AC213">
        <f ca="1">IF($C213-AC$1&lt;År1,0,AB212*(1-VLOOKUP($A213,[1]Hugst!$R$5:$W$9,MATCH(ROUNDUP((AC$1)/10,0)*10,[1]Hugst!$R$4:$W$4,0))))</f>
        <v>3184.3595803361036</v>
      </c>
      <c r="AD213">
        <f ca="1">IF($C213-AD$1&lt;År1,0,AC212*(1-VLOOKUP($A213,[1]Hugst!$R$5:$W$9,MATCH(ROUNDUP((AD$1)/10,0)*10,[1]Hugst!$R$4:$W$4,0))))</f>
        <v>3185.2113868646125</v>
      </c>
      <c r="AE213">
        <f ca="1">IF($C213-AE$1&lt;År1,0,AD212*(1-VLOOKUP($A213,[1]Hugst!$R$5:$W$9,MATCH(ROUNDUP((AE$1)/10,0)*10,[1]Hugst!$R$4:$W$4,0))))</f>
        <v>3186.0801458203118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114.9626854051894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4591.5297682534783</v>
      </c>
      <c r="G214">
        <f ca="1">IF($C214-G$1&lt;År1,0,F213*(1-VLOOKUP($A214,[1]Hugst!$R$5:$W$9,MATCH(ROUNDUP((G$1)/10,0)*10,[1]Hugst!$R$4:$W$4,0))))</f>
        <v>4589.1331531208689</v>
      </c>
      <c r="H214">
        <f ca="1">IF($C214-H$1&lt;År1,0,G213*(1-VLOOKUP($A214,[1]Hugst!$R$5:$W$9,MATCH(ROUNDUP((H$1)/10,0)*10,[1]Hugst!$R$4:$W$4,0))))</f>
        <v>4586.7573148762513</v>
      </c>
      <c r="I214">
        <f ca="1">IF($C214-I$1&lt;År1,0,H213*(1-VLOOKUP($A214,[1]Hugst!$R$5:$W$9,MATCH(ROUNDUP((I$1)/10,0)*10,[1]Hugst!$R$4:$W$4,0))))</f>
        <v>4584.4024006903801</v>
      </c>
      <c r="J214">
        <f ca="1">IF($C214-J$1&lt;År1,0,I213*(1-VLOOKUP($A214,[1]Hugst!$R$5:$W$9,MATCH(ROUNDUP((J$1)/10,0)*10,[1]Hugst!$R$4:$W$4,0))))</f>
        <v>4582.0685585111696</v>
      </c>
      <c r="K214">
        <f ca="1">IF($C214-K$1&lt;År1,0,J213*(1-VLOOKUP($A214,[1]Hugst!$R$5:$W$9,MATCH(ROUNDUP((K$1)/10,0)*10,[1]Hugst!$R$4:$W$4,0))))</f>
        <v>4579.7559370680192</v>
      </c>
      <c r="L214">
        <f ca="1">IF($C214-L$1&lt;År1,0,K213*(1-VLOOKUP($A214,[1]Hugst!$R$5:$W$9,MATCH(ROUNDUP((L$1)/10,0)*10,[1]Hugst!$R$4:$W$4,0))))</f>
        <v>4577.4646858753858</v>
      </c>
      <c r="M214">
        <f ca="1">IF($C214-M$1&lt;År1,0,L213*(1-VLOOKUP($A214,[1]Hugst!$R$5:$W$9,MATCH(ROUNDUP((M$1)/10,0)*10,[1]Hugst!$R$4:$W$4,0))))</f>
        <v>4578.0887180917653</v>
      </c>
      <c r="N214">
        <f ca="1">IF($C214-N$1&lt;År1,0,M213*(1-VLOOKUP($A214,[1]Hugst!$R$5:$W$9,MATCH(ROUNDUP((N$1)/10,0)*10,[1]Hugst!$R$4:$W$4,0))))</f>
        <v>4575.5941446545203</v>
      </c>
      <c r="O214">
        <f ca="1">IF($C214-O$1&lt;År1,0,N213*(1-VLOOKUP($A214,[1]Hugst!$R$5:$W$9,MATCH(ROUNDUP((O$1)/10,0)*10,[1]Hugst!$R$4:$W$4,0))))</f>
        <v>4573.0963736697449</v>
      </c>
      <c r="P214">
        <f ca="1">IF($C214-P$1&lt;År1,0,O213*(1-VLOOKUP($A214,[1]Hugst!$R$5:$W$9,MATCH(ROUNDUP((P$1)/10,0)*10,[1]Hugst!$R$4:$W$4,0))))</f>
        <v>4560.5623952988371</v>
      </c>
      <c r="Q214">
        <f ca="1">IF($C214-Q$1&lt;År1,0,P213*(1-VLOOKUP($A214,[1]Hugst!$R$5:$W$9,MATCH(ROUNDUP((Q$1)/10,0)*10,[1]Hugst!$R$4:$W$4,0))))</f>
        <v>4548.0582338624772</v>
      </c>
      <c r="R214">
        <f ca="1">IF($C214-R$1&lt;År1,0,Q213*(1-VLOOKUP($A214,[1]Hugst!$R$5:$W$9,MATCH(ROUNDUP((R$1)/10,0)*10,[1]Hugst!$R$4:$W$4,0))))</f>
        <v>4535.5838304018253</v>
      </c>
      <c r="S214">
        <f ca="1">IF($C214-S$1&lt;År1,0,R213*(1-VLOOKUP($A214,[1]Hugst!$R$5:$W$9,MATCH(ROUNDUP((S$1)/10,0)*10,[1]Hugst!$R$4:$W$4,0))))</f>
        <v>4523.1391261058407</v>
      </c>
      <c r="T214">
        <f ca="1">IF($C214-T$1&lt;År1,0,S213*(1-VLOOKUP($A214,[1]Hugst!$R$5:$W$9,MATCH(ROUNDUP((T$1)/10,0)*10,[1]Hugst!$R$4:$W$4,0))))</f>
        <v>4510.7240623109037</v>
      </c>
      <c r="U214">
        <f ca="1">IF($C214-U$1&lt;År1,0,T213*(1-VLOOKUP($A214,[1]Hugst!$R$5:$W$9,MATCH(ROUNDUP((U$1)/10,0)*10,[1]Hugst!$R$4:$W$4,0))))</f>
        <v>4498.3385805005173</v>
      </c>
      <c r="V214">
        <f ca="1">IF($C214-V$1&lt;År1,0,U213*(1-VLOOKUP($A214,[1]Hugst!$R$5:$W$9,MATCH(ROUNDUP((V$1)/10,0)*10,[1]Hugst!$R$4:$W$4,0))))</f>
        <v>3190.6858984113683</v>
      </c>
      <c r="W214">
        <f ca="1">IF($C214-W$1&lt;År1,0,V213*(1-VLOOKUP($A214,[1]Hugst!$R$5:$W$9,MATCH(ROUNDUP((W$1)/10,0)*10,[1]Hugst!$R$4:$W$4,0))))</f>
        <v>3181.2027398801597</v>
      </c>
      <c r="X214">
        <f ca="1">IF($C214-X$1&lt;År1,0,W213*(1-VLOOKUP($A214,[1]Hugst!$R$5:$W$9,MATCH(ROUNDUP((X$1)/10,0)*10,[1]Hugst!$R$4:$W$4,0))))</f>
        <v>3178.829617404499</v>
      </c>
      <c r="Y214">
        <f ca="1">IF($C214-Y$1&lt;År1,0,X213*(1-VLOOKUP($A214,[1]Hugst!$R$5:$W$9,MATCH(ROUNDUP((Y$1)/10,0)*10,[1]Hugst!$R$4:$W$4,0))))</f>
        <v>3176.4746997026286</v>
      </c>
      <c r="Z214">
        <f ca="1">IF($C214-Z$1&lt;År1,0,Y213*(1-VLOOKUP($A214,[1]Hugst!$R$5:$W$9,MATCH(ROUNDUP((Z$1)/10,0)*10,[1]Hugst!$R$4:$W$4,0))))</f>
        <v>3177.2415160632404</v>
      </c>
      <c r="AA214">
        <f ca="1">IF($C214-AA$1&lt;År1,0,Z213*(1-VLOOKUP($A214,[1]Hugst!$R$5:$W$9,MATCH(ROUNDUP((AA$1)/10,0)*10,[1]Hugst!$R$4:$W$4,0))))</f>
        <v>3178.0250290439126</v>
      </c>
      <c r="AB214">
        <f ca="1">IF($C214-AB$1&lt;År1,0,AA213*(1-VLOOKUP($A214,[1]Hugst!$R$5:$W$9,MATCH(ROUNDUP((AB$1)/10,0)*10,[1]Hugst!$R$4:$W$4,0))))</f>
        <v>3178.8252852745372</v>
      </c>
      <c r="AC214">
        <f ca="1">IF($C214-AC$1&lt;År1,0,AB213*(1-VLOOKUP($A214,[1]Hugst!$R$5:$W$9,MATCH(ROUNDUP((AC$1)/10,0)*10,[1]Hugst!$R$4:$W$4,0))))</f>
        <v>3179.6423315826578</v>
      </c>
      <c r="AD214">
        <f ca="1">IF($C214-AD$1&lt;År1,0,AC213*(1-VLOOKUP($A214,[1]Hugst!$R$5:$W$9,MATCH(ROUNDUP((AD$1)/10,0)*10,[1]Hugst!$R$4:$W$4,0))))</f>
        <v>3180.4762149942303</v>
      </c>
      <c r="AE214">
        <f ca="1">IF($C214-AE$1&lt;År1,0,AD213*(1-VLOOKUP($A214,[1]Hugst!$R$5:$W$9,MATCH(ROUNDUP((AE$1)/10,0)*10,[1]Hugst!$R$4:$W$4,0))))</f>
        <v>3181.3269827342897</v>
      </c>
      <c r="AF214">
        <f ca="1">IF($C214-AF$1&lt;År1,0,AE213*(1-VLOOKUP($A214,[1]Hugst!$R$5:$W$9,MATCH(ROUNDUP((AF$1)/10,0)*10,[1]Hugst!$R$4:$W$4,0))))</f>
        <v>3182.1946822278478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121.67634668991377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4593.9470138769921</v>
      </c>
      <c r="G215">
        <f ca="1">IF($C215-G$1&lt;År1,0,F214*(1-VLOOKUP($A215,[1]Hugst!$R$5:$W$9,MATCH(ROUNDUP((G$1)/10,0)*10,[1]Hugst!$R$4:$W$4,0))))</f>
        <v>4591.5297682534783</v>
      </c>
      <c r="H215">
        <f ca="1">IF($C215-H$1&lt;År1,0,G214*(1-VLOOKUP($A215,[1]Hugst!$R$5:$W$9,MATCH(ROUNDUP((H$1)/10,0)*10,[1]Hugst!$R$4:$W$4,0))))</f>
        <v>4589.1331531208689</v>
      </c>
      <c r="I215">
        <f ca="1">IF($C215-I$1&lt;År1,0,H214*(1-VLOOKUP($A215,[1]Hugst!$R$5:$W$9,MATCH(ROUNDUP((I$1)/10,0)*10,[1]Hugst!$R$4:$W$4,0))))</f>
        <v>4586.7573148762513</v>
      </c>
      <c r="J215">
        <f ca="1">IF($C215-J$1&lt;År1,0,I214*(1-VLOOKUP($A215,[1]Hugst!$R$5:$W$9,MATCH(ROUNDUP((J$1)/10,0)*10,[1]Hugst!$R$4:$W$4,0))))</f>
        <v>4584.4024006903801</v>
      </c>
      <c r="K215">
        <f ca="1">IF($C215-K$1&lt;År1,0,J214*(1-VLOOKUP($A215,[1]Hugst!$R$5:$W$9,MATCH(ROUNDUP((K$1)/10,0)*10,[1]Hugst!$R$4:$W$4,0))))</f>
        <v>4582.0685585111696</v>
      </c>
      <c r="L215">
        <f ca="1">IF($C215-L$1&lt;År1,0,K214*(1-VLOOKUP($A215,[1]Hugst!$R$5:$W$9,MATCH(ROUNDUP((L$1)/10,0)*10,[1]Hugst!$R$4:$W$4,0))))</f>
        <v>4579.7559370680192</v>
      </c>
      <c r="M215">
        <f ca="1">IF($C215-M$1&lt;År1,0,L214*(1-VLOOKUP($A215,[1]Hugst!$R$5:$W$9,MATCH(ROUNDUP((M$1)/10,0)*10,[1]Hugst!$R$4:$W$4,0))))</f>
        <v>4577.4646858753858</v>
      </c>
      <c r="N215">
        <f ca="1">IF($C215-N$1&lt;År1,0,M214*(1-VLOOKUP($A215,[1]Hugst!$R$5:$W$9,MATCH(ROUNDUP((N$1)/10,0)*10,[1]Hugst!$R$4:$W$4,0))))</f>
        <v>4578.0887180917653</v>
      </c>
      <c r="O215">
        <f ca="1">IF($C215-O$1&lt;År1,0,N214*(1-VLOOKUP($A215,[1]Hugst!$R$5:$W$9,MATCH(ROUNDUP((O$1)/10,0)*10,[1]Hugst!$R$4:$W$4,0))))</f>
        <v>4575.5941446545203</v>
      </c>
      <c r="P215">
        <f ca="1">IF($C215-P$1&lt;År1,0,O214*(1-VLOOKUP($A215,[1]Hugst!$R$5:$W$9,MATCH(ROUNDUP((P$1)/10,0)*10,[1]Hugst!$R$4:$W$4,0))))</f>
        <v>4563.0578694348605</v>
      </c>
      <c r="Q215">
        <f ca="1">IF($C215-Q$1&lt;År1,0,P214*(1-VLOOKUP($A215,[1]Hugst!$R$5:$W$9,MATCH(ROUNDUP((Q$1)/10,0)*10,[1]Hugst!$R$4:$W$4,0))))</f>
        <v>4550.5514046750104</v>
      </c>
      <c r="R215">
        <f ca="1">IF($C215-R$1&lt;År1,0,Q214*(1-VLOOKUP($A215,[1]Hugst!$R$5:$W$9,MATCH(ROUNDUP((R$1)/10,0)*10,[1]Hugst!$R$4:$W$4,0))))</f>
        <v>4538.074691397901</v>
      </c>
      <c r="S215">
        <f ca="1">IF($C215-S$1&lt;År1,0,R214*(1-VLOOKUP($A215,[1]Hugst!$R$5:$W$9,MATCH(ROUNDUP((S$1)/10,0)*10,[1]Hugst!$R$4:$W$4,0))))</f>
        <v>4525.6276707741135</v>
      </c>
      <c r="T215">
        <f ca="1">IF($C215-T$1&lt;År1,0,S214*(1-VLOOKUP($A215,[1]Hugst!$R$5:$W$9,MATCH(ROUNDUP((T$1)/10,0)*10,[1]Hugst!$R$4:$W$4,0))))</f>
        <v>4513.2102841217056</v>
      </c>
      <c r="U215">
        <f ca="1">IF($C215-U$1&lt;År1,0,T214*(1-VLOOKUP($A215,[1]Hugst!$R$5:$W$9,MATCH(ROUNDUP((U$1)/10,0)*10,[1]Hugst!$R$4:$W$4,0))))</f>
        <v>4500.8224729058311</v>
      </c>
      <c r="V215">
        <f ca="1">IF($C215-V$1&lt;År1,0,U214*(1-VLOOKUP($A215,[1]Hugst!$R$5:$W$9,MATCH(ROUNDUP((V$1)/10,0)*10,[1]Hugst!$R$4:$W$4,0))))</f>
        <v>4488.4641787384426</v>
      </c>
      <c r="W215">
        <f ca="1">IF($C215-W$1&lt;År1,0,V214*(1-VLOOKUP($A215,[1]Hugst!$R$5:$W$9,MATCH(ROUNDUP((W$1)/10,0)*10,[1]Hugst!$R$4:$W$4,0))))</f>
        <v>3183.6819537563188</v>
      </c>
      <c r="X215">
        <f ca="1">IF($C215-X$1&lt;År1,0,W214*(1-VLOOKUP($A215,[1]Hugst!$R$5:$W$9,MATCH(ROUNDUP((X$1)/10,0)*10,[1]Hugst!$R$4:$W$4,0))))</f>
        <v>3174.2196119145692</v>
      </c>
      <c r="Y215">
        <f ca="1">IF($C215-Y$1&lt;År1,0,X214*(1-VLOOKUP($A215,[1]Hugst!$R$5:$W$9,MATCH(ROUNDUP((Y$1)/10,0)*10,[1]Hugst!$R$4:$W$4,0))))</f>
        <v>3171.8516987321477</v>
      </c>
      <c r="Z215">
        <f ca="1">IF($C215-Z$1&lt;År1,0,Y214*(1-VLOOKUP($A215,[1]Hugst!$R$5:$W$9,MATCH(ROUNDUP((Z$1)/10,0)*10,[1]Hugst!$R$4:$W$4,0))))</f>
        <v>3172.6009500688451</v>
      </c>
      <c r="AA215">
        <f ca="1">IF($C215-AA$1&lt;År1,0,Z214*(1-VLOOKUP($A215,[1]Hugst!$R$5:$W$9,MATCH(ROUNDUP((AA$1)/10,0)*10,[1]Hugst!$R$4:$W$4,0))))</f>
        <v>3173.3668312875534</v>
      </c>
      <c r="AB215">
        <f ca="1">IF($C215-AB$1&lt;År1,0,AA214*(1-VLOOKUP($A215,[1]Hugst!$R$5:$W$9,MATCH(ROUNDUP((AB$1)/10,0)*10,[1]Hugst!$R$4:$W$4,0))))</f>
        <v>3174.1493887645906</v>
      </c>
      <c r="AC215">
        <f ca="1">IF($C215-AC$1&lt;År1,0,AB214*(1-VLOOKUP($A215,[1]Hugst!$R$5:$W$9,MATCH(ROUNDUP((AC$1)/10,0)*10,[1]Hugst!$R$4:$W$4,0))))</f>
        <v>3174.9486690729827</v>
      </c>
      <c r="AD215">
        <f ca="1">IF($C215-AD$1&lt;År1,0,AC214*(1-VLOOKUP($A215,[1]Hugst!$R$5:$W$9,MATCH(ROUNDUP((AD$1)/10,0)*10,[1]Hugst!$R$4:$W$4,0))))</f>
        <v>3175.7647189831669</v>
      </c>
      <c r="AE215">
        <f ca="1">IF($C215-AE$1&lt;År1,0,AD214*(1-VLOOKUP($A215,[1]Hugst!$R$5:$W$9,MATCH(ROUNDUP((AE$1)/10,0)*10,[1]Hugst!$R$4:$W$4,0))))</f>
        <v>3176.5975854637495</v>
      </c>
      <c r="AF215">
        <f ca="1">IF($C215-AF$1&lt;År1,0,AE214*(1-VLOOKUP($A215,[1]Hugst!$R$5:$W$9,MATCH(ROUNDUP((AF$1)/10,0)*10,[1]Hugst!$R$4:$W$4,0))))</f>
        <v>3177.4473156821746</v>
      </c>
      <c r="AG215">
        <f ca="1">IF($C215-AG$1&lt;År1,0,AF214*(1-VLOOKUP($A215,[1]Hugst!$R$5:$W$9,MATCH(ROUNDUP((AG$1)/10,0)*10,[1]Hugst!$R$4:$W$4,0))))</f>
        <v>3178.3139570056187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128.38901076017646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4596.3847443644318</v>
      </c>
      <c r="G216">
        <f ca="1">IF($C216-G$1&lt;År1,0,F215*(1-VLOOKUP($A216,[1]Hugst!$R$5:$W$9,MATCH(ROUNDUP((G$1)/10,0)*10,[1]Hugst!$R$4:$W$4,0))))</f>
        <v>4593.9470138769921</v>
      </c>
      <c r="H216">
        <f ca="1">IF($C216-H$1&lt;År1,0,G215*(1-VLOOKUP($A216,[1]Hugst!$R$5:$W$9,MATCH(ROUNDUP((H$1)/10,0)*10,[1]Hugst!$R$4:$W$4,0))))</f>
        <v>4591.5297682534783</v>
      </c>
      <c r="I216">
        <f ca="1">IF($C216-I$1&lt;År1,0,H215*(1-VLOOKUP($A216,[1]Hugst!$R$5:$W$9,MATCH(ROUNDUP((I$1)/10,0)*10,[1]Hugst!$R$4:$W$4,0))))</f>
        <v>4589.1331531208689</v>
      </c>
      <c r="J216">
        <f ca="1">IF($C216-J$1&lt;År1,0,I215*(1-VLOOKUP($A216,[1]Hugst!$R$5:$W$9,MATCH(ROUNDUP((J$1)/10,0)*10,[1]Hugst!$R$4:$W$4,0))))</f>
        <v>4586.7573148762513</v>
      </c>
      <c r="K216">
        <f ca="1">IF($C216-K$1&lt;År1,0,J215*(1-VLOOKUP($A216,[1]Hugst!$R$5:$W$9,MATCH(ROUNDUP((K$1)/10,0)*10,[1]Hugst!$R$4:$W$4,0))))</f>
        <v>4584.4024006903801</v>
      </c>
      <c r="L216">
        <f ca="1">IF($C216-L$1&lt;År1,0,K215*(1-VLOOKUP($A216,[1]Hugst!$R$5:$W$9,MATCH(ROUNDUP((L$1)/10,0)*10,[1]Hugst!$R$4:$W$4,0))))</f>
        <v>4582.0685585111696</v>
      </c>
      <c r="M216">
        <f ca="1">IF($C216-M$1&lt;År1,0,L215*(1-VLOOKUP($A216,[1]Hugst!$R$5:$W$9,MATCH(ROUNDUP((M$1)/10,0)*10,[1]Hugst!$R$4:$W$4,0))))</f>
        <v>4579.7559370680192</v>
      </c>
      <c r="N216">
        <f ca="1">IF($C216-N$1&lt;År1,0,M215*(1-VLOOKUP($A216,[1]Hugst!$R$5:$W$9,MATCH(ROUNDUP((N$1)/10,0)*10,[1]Hugst!$R$4:$W$4,0))))</f>
        <v>4577.4646858753858</v>
      </c>
      <c r="O216">
        <f ca="1">IF($C216-O$1&lt;År1,0,N215*(1-VLOOKUP($A216,[1]Hugst!$R$5:$W$9,MATCH(ROUNDUP((O$1)/10,0)*10,[1]Hugst!$R$4:$W$4,0))))</f>
        <v>4578.0887180917653</v>
      </c>
      <c r="P216">
        <f ca="1">IF($C216-P$1&lt;År1,0,O215*(1-VLOOKUP($A216,[1]Hugst!$R$5:$W$9,MATCH(ROUNDUP((P$1)/10,0)*10,[1]Hugst!$R$4:$W$4,0))))</f>
        <v>4565.5501575077178</v>
      </c>
      <c r="Q216">
        <f ca="1">IF($C216-Q$1&lt;År1,0,P215*(1-VLOOKUP($A216,[1]Hugst!$R$5:$W$9,MATCH(ROUNDUP((Q$1)/10,0)*10,[1]Hugst!$R$4:$W$4,0))))</f>
        <v>4553.0414009409787</v>
      </c>
      <c r="R216">
        <f ca="1">IF($C216-R$1&lt;År1,0,Q215*(1-VLOOKUP($A216,[1]Hugst!$R$5:$W$9,MATCH(ROUNDUP((R$1)/10,0)*10,[1]Hugst!$R$4:$W$4,0))))</f>
        <v>4540.5623893964557</v>
      </c>
      <c r="S216">
        <f ca="1">IF($C216-S$1&lt;År1,0,R215*(1-VLOOKUP($A216,[1]Hugst!$R$5:$W$9,MATCH(ROUNDUP((S$1)/10,0)*10,[1]Hugst!$R$4:$W$4,0))))</f>
        <v>4528.1130640265401</v>
      </c>
      <c r="T216">
        <f ca="1">IF($C216-T$1&lt;År1,0,S215*(1-VLOOKUP($A216,[1]Hugst!$R$5:$W$9,MATCH(ROUNDUP((T$1)/10,0)*10,[1]Hugst!$R$4:$W$4,0))))</f>
        <v>4515.6933661309513</v>
      </c>
      <c r="U216">
        <f ca="1">IF($C216-U$1&lt;År1,0,T215*(1-VLOOKUP($A216,[1]Hugst!$R$5:$W$9,MATCH(ROUNDUP((U$1)/10,0)*10,[1]Hugst!$R$4:$W$4,0))))</f>
        <v>4503.3032371565605</v>
      </c>
      <c r="V216">
        <f ca="1">IF($C216-V$1&lt;År1,0,U215*(1-VLOOKUP($A216,[1]Hugst!$R$5:$W$9,MATCH(ROUNDUP((V$1)/10,0)*10,[1]Hugst!$R$4:$W$4,0))))</f>
        <v>4490.9426186970131</v>
      </c>
      <c r="W216">
        <f ca="1">IF($C216-W$1&lt;År1,0,V215*(1-VLOOKUP($A216,[1]Hugst!$R$5:$W$9,MATCH(ROUNDUP((W$1)/10,0)*10,[1]Hugst!$R$4:$W$4,0))))</f>
        <v>4478.6114524924315</v>
      </c>
      <c r="X216">
        <f ca="1">IF($C216-X$1&lt;År1,0,W215*(1-VLOOKUP($A216,[1]Hugst!$R$5:$W$9,MATCH(ROUNDUP((X$1)/10,0)*10,[1]Hugst!$R$4:$W$4,0))))</f>
        <v>3176.6933836139269</v>
      </c>
      <c r="Y216">
        <f ca="1">IF($C216-Y$1&lt;År1,0,X215*(1-VLOOKUP($A216,[1]Hugst!$R$5:$W$9,MATCH(ROUNDUP((Y$1)/10,0)*10,[1]Hugst!$R$4:$W$4,0))))</f>
        <v>3167.2518127664639</v>
      </c>
      <c r="Z216">
        <f ca="1">IF($C216-Z$1&lt;År1,0,Y215*(1-VLOOKUP($A216,[1]Hugst!$R$5:$W$9,MATCH(ROUNDUP((Z$1)/10,0)*10,[1]Hugst!$R$4:$W$4,0))))</f>
        <v>3167.9835869044255</v>
      </c>
      <c r="AA216">
        <f ca="1">IF($C216-AA$1&lt;År1,0,Z215*(1-VLOOKUP($A216,[1]Hugst!$R$5:$W$9,MATCH(ROUNDUP((AA$1)/10,0)*10,[1]Hugst!$R$4:$W$4,0))))</f>
        <v>3168.7319245199806</v>
      </c>
      <c r="AB216">
        <f ca="1">IF($C216-AB$1&lt;År1,0,AA215*(1-VLOOKUP($A216,[1]Hugst!$R$5:$W$9,MATCH(ROUNDUP((AB$1)/10,0)*10,[1]Hugst!$R$4:$W$4,0))))</f>
        <v>3169.4968717372026</v>
      </c>
      <c r="AC216">
        <f ca="1">IF($C216-AC$1&lt;År1,0,AB215*(1-VLOOKUP($A216,[1]Hugst!$R$5:$W$9,MATCH(ROUNDUP((AC$1)/10,0)*10,[1]Hugst!$R$4:$W$4,0))))</f>
        <v>3170.2784748758531</v>
      </c>
      <c r="AD216">
        <f ca="1">IF($C216-AD$1&lt;År1,0,AC215*(1-VLOOKUP($A216,[1]Hugst!$R$5:$W$9,MATCH(ROUNDUP((AD$1)/10,0)*10,[1]Hugst!$R$4:$W$4,0))))</f>
        <v>3171.076780452162</v>
      </c>
      <c r="AE216">
        <f ca="1">IF($C216-AE$1&lt;År1,0,AD215*(1-VLOOKUP($A216,[1]Hugst!$R$5:$W$9,MATCH(ROUNDUP((AE$1)/10,0)*10,[1]Hugst!$R$4:$W$4,0))))</f>
        <v>3171.8918351795287</v>
      </c>
      <c r="AF216">
        <f ca="1">IF($C216-AF$1&lt;År1,0,AE215*(1-VLOOKUP($A216,[1]Hugst!$R$5:$W$9,MATCH(ROUNDUP((AF$1)/10,0)*10,[1]Hugst!$R$4:$W$4,0))))</f>
        <v>3172.7236859692816</v>
      </c>
      <c r="AG216">
        <f ca="1">IF($C216-AG$1&lt;År1,0,AF215*(1-VLOOKUP($A216,[1]Hugst!$R$5:$W$9,MATCH(ROUNDUP((AG$1)/10,0)*10,[1]Hugst!$R$4:$W$4,0))))</f>
        <v>3173.5723799313428</v>
      </c>
      <c r="AH216">
        <f ca="1">IF($C216-AH$1&lt;År1,0,AG215*(1-VLOOKUP($A216,[1]Hugst!$R$5:$W$9,MATCH(ROUNDUP((AH$1)/10,0)*10,[1]Hugst!$R$4:$W$4,0))))</f>
        <v>3174.437964375124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135.10064016490651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4598.8428148542316</v>
      </c>
      <c r="G217">
        <f ca="1">IF($C217-G$1&lt;År1,0,F216*(1-VLOOKUP($A217,[1]Hugst!$R$5:$W$9,MATCH(ROUNDUP((G$1)/10,0)*10,[1]Hugst!$R$4:$W$4,0))))</f>
        <v>4596.3847443644318</v>
      </c>
      <c r="H217">
        <f ca="1">IF($C217-H$1&lt;År1,0,G216*(1-VLOOKUP($A217,[1]Hugst!$R$5:$W$9,MATCH(ROUNDUP((H$1)/10,0)*10,[1]Hugst!$R$4:$W$4,0))))</f>
        <v>4593.9470138769921</v>
      </c>
      <c r="I217">
        <f ca="1">IF($C217-I$1&lt;År1,0,H216*(1-VLOOKUP($A217,[1]Hugst!$R$5:$W$9,MATCH(ROUNDUP((I$1)/10,0)*10,[1]Hugst!$R$4:$W$4,0))))</f>
        <v>4591.5297682534783</v>
      </c>
      <c r="J217">
        <f ca="1">IF($C217-J$1&lt;År1,0,I216*(1-VLOOKUP($A217,[1]Hugst!$R$5:$W$9,MATCH(ROUNDUP((J$1)/10,0)*10,[1]Hugst!$R$4:$W$4,0))))</f>
        <v>4589.1331531208689</v>
      </c>
      <c r="K217">
        <f ca="1">IF($C217-K$1&lt;År1,0,J216*(1-VLOOKUP($A217,[1]Hugst!$R$5:$W$9,MATCH(ROUNDUP((K$1)/10,0)*10,[1]Hugst!$R$4:$W$4,0))))</f>
        <v>4586.7573148762513</v>
      </c>
      <c r="L217">
        <f ca="1">IF($C217-L$1&lt;År1,0,K216*(1-VLOOKUP($A217,[1]Hugst!$R$5:$W$9,MATCH(ROUNDUP((L$1)/10,0)*10,[1]Hugst!$R$4:$W$4,0))))</f>
        <v>4584.4024006903801</v>
      </c>
      <c r="M217">
        <f ca="1">IF($C217-M$1&lt;År1,0,L216*(1-VLOOKUP($A217,[1]Hugst!$R$5:$W$9,MATCH(ROUNDUP((M$1)/10,0)*10,[1]Hugst!$R$4:$W$4,0))))</f>
        <v>4582.0685585111696</v>
      </c>
      <c r="N217">
        <f ca="1">IF($C217-N$1&lt;År1,0,M216*(1-VLOOKUP($A217,[1]Hugst!$R$5:$W$9,MATCH(ROUNDUP((N$1)/10,0)*10,[1]Hugst!$R$4:$W$4,0))))</f>
        <v>4579.7559370680192</v>
      </c>
      <c r="O217">
        <f ca="1">IF($C217-O$1&lt;År1,0,N216*(1-VLOOKUP($A217,[1]Hugst!$R$5:$W$9,MATCH(ROUNDUP((O$1)/10,0)*10,[1]Hugst!$R$4:$W$4,0))))</f>
        <v>4577.4646858753858</v>
      </c>
      <c r="P217">
        <f ca="1">IF($C217-P$1&lt;År1,0,O216*(1-VLOOKUP($A217,[1]Hugst!$R$5:$W$9,MATCH(ROUNDUP((P$1)/10,0)*10,[1]Hugst!$R$4:$W$4,0))))</f>
        <v>4568.0392550520519</v>
      </c>
      <c r="Q217">
        <f ca="1">IF($C217-Q$1&lt;År1,0,P216*(1-VLOOKUP($A217,[1]Hugst!$R$5:$W$9,MATCH(ROUNDUP((Q$1)/10,0)*10,[1]Hugst!$R$4:$W$4,0))))</f>
        <v>4555.5282181375787</v>
      </c>
      <c r="R217">
        <f ca="1">IF($C217-R$1&lt;År1,0,Q216*(1-VLOOKUP($A217,[1]Hugst!$R$5:$W$9,MATCH(ROUNDUP((R$1)/10,0)*10,[1]Hugst!$R$4:$W$4,0))))</f>
        <v>4543.0469198169621</v>
      </c>
      <c r="S217">
        <f ca="1">IF($C217-S$1&lt;År1,0,R216*(1-VLOOKUP($A217,[1]Hugst!$R$5:$W$9,MATCH(ROUNDUP((S$1)/10,0)*10,[1]Hugst!$R$4:$W$4,0))))</f>
        <v>4530.59530122461</v>
      </c>
      <c r="T217">
        <f ca="1">IF($C217-T$1&lt;År1,0,S216*(1-VLOOKUP($A217,[1]Hugst!$R$5:$W$9,MATCH(ROUNDUP((T$1)/10,0)*10,[1]Hugst!$R$4:$W$4,0))))</f>
        <v>4518.1733036420919</v>
      </c>
      <c r="U217">
        <f ca="1">IF($C217-U$1&lt;År1,0,T216*(1-VLOOKUP($A217,[1]Hugst!$R$5:$W$9,MATCH(ROUNDUP((U$1)/10,0)*10,[1]Hugst!$R$4:$W$4,0))))</f>
        <v>4505.7808684979809</v>
      </c>
      <c r="V217">
        <f ca="1">IF($C217-V$1&lt;År1,0,U216*(1-VLOOKUP($A217,[1]Hugst!$R$5:$W$9,MATCH(ROUNDUP((V$1)/10,0)*10,[1]Hugst!$R$4:$W$4,0))))</f>
        <v>4493.4179373676807</v>
      </c>
      <c r="W217">
        <f ca="1">IF($C217-W$1&lt;År1,0,V216*(1-VLOOKUP($A217,[1]Hugst!$R$5:$W$9,MATCH(ROUNDUP((W$1)/10,0)*10,[1]Hugst!$R$4:$W$4,0))))</f>
        <v>4481.0844519730445</v>
      </c>
      <c r="X217">
        <f ca="1">IF($C217-X$1&lt;År1,0,W216*(1-VLOOKUP($A217,[1]Hugst!$R$5:$W$9,MATCH(ROUNDUP((X$1)/10,0)*10,[1]Hugst!$R$4:$W$4,0))))</f>
        <v>4468.7803541820822</v>
      </c>
      <c r="Y217">
        <f ca="1">IF($C217-Y$1&lt;År1,0,X216*(1-VLOOKUP($A217,[1]Hugst!$R$5:$W$9,MATCH(ROUNDUP((Y$1)/10,0)*10,[1]Hugst!$R$4:$W$4,0))))</f>
        <v>3169.7201542352623</v>
      </c>
      <c r="Z217">
        <f ca="1">IF($C217-Z$1&lt;År1,0,Y216*(1-VLOOKUP($A217,[1]Hugst!$R$5:$W$9,MATCH(ROUNDUP((Z$1)/10,0)*10,[1]Hugst!$R$4:$W$4,0))))</f>
        <v>3163.3893105557731</v>
      </c>
      <c r="AA217">
        <f ca="1">IF($C217-AA$1&lt;År1,0,Z216*(1-VLOOKUP($A217,[1]Hugst!$R$5:$W$9,MATCH(ROUNDUP((AA$1)/10,0)*10,[1]Hugst!$R$4:$W$4,0))))</f>
        <v>3164.1201922862492</v>
      </c>
      <c r="AB217">
        <f ca="1">IF($C217-AB$1&lt;År1,0,AA216*(1-VLOOKUP($A217,[1]Hugst!$R$5:$W$9,MATCH(ROUNDUP((AB$1)/10,0)*10,[1]Hugst!$R$4:$W$4,0))))</f>
        <v>3164.8676172949563</v>
      </c>
      <c r="AC217">
        <f ca="1">IF($C217-AC$1&lt;År1,0,AB216*(1-VLOOKUP($A217,[1]Hugst!$R$5:$W$9,MATCH(ROUNDUP((AC$1)/10,0)*10,[1]Hugst!$R$4:$W$4,0))))</f>
        <v>3165.6316316497182</v>
      </c>
      <c r="AD217">
        <f ca="1">IF($C217-AD$1&lt;År1,0,AC216*(1-VLOOKUP($A217,[1]Hugst!$R$5:$W$9,MATCH(ROUNDUP((AD$1)/10,0)*10,[1]Hugst!$R$4:$W$4,0))))</f>
        <v>3166.4122816138092</v>
      </c>
      <c r="AE217">
        <f ca="1">IF($C217-AE$1&lt;År1,0,AD216*(1-VLOOKUP($A217,[1]Hugst!$R$5:$W$9,MATCH(ROUNDUP((AE$1)/10,0)*10,[1]Hugst!$R$4:$W$4,0))))</f>
        <v>3167.2096136467326</v>
      </c>
      <c r="AF217">
        <f ca="1">IF($C217-AF$1&lt;År1,0,AE216*(1-VLOOKUP($A217,[1]Hugst!$R$5:$W$9,MATCH(ROUNDUP((AF$1)/10,0)*10,[1]Hugst!$R$4:$W$4,0))))</f>
        <v>3168.0236744049193</v>
      </c>
      <c r="AG217">
        <f ca="1">IF($C217-AG$1&lt;År1,0,AF216*(1-VLOOKUP($A217,[1]Hugst!$R$5:$W$9,MATCH(ROUNDUP((AG$1)/10,0)*10,[1]Hugst!$R$4:$W$4,0))))</f>
        <v>3168.8545107424898</v>
      </c>
      <c r="AH217">
        <f ca="1">IF($C217-AH$1&lt;År1,0,AG216*(1-VLOOKUP($A217,[1]Hugst!$R$5:$W$9,MATCH(ROUNDUP((AH$1)/10,0)*10,[1]Hugst!$R$4:$W$4,0))))</f>
        <v>3169.7021697119144</v>
      </c>
      <c r="AI217">
        <f ca="1">IF($C217-AI$1&lt;År1,0,AH216*(1-VLOOKUP($A217,[1]Hugst!$R$5:$W$9,MATCH(ROUNDUP((AI$1)/10,0)*10,[1]Hugst!$R$4:$W$4,0))))</f>
        <v>3170.5666985649104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140.05754045458161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4599.5674240235585</v>
      </c>
      <c r="G218">
        <f ca="1">IF($C218-G$1&lt;År1,0,F217*(1-VLOOKUP($A218,[1]Hugst!$R$5:$W$9,MATCH(ROUNDUP((G$1)/10,0)*10,[1]Hugst!$R$4:$W$4,0))))</f>
        <v>4598.8428148542316</v>
      </c>
      <c r="H218">
        <f ca="1">IF($C218-H$1&lt;År1,0,G217*(1-VLOOKUP($A218,[1]Hugst!$R$5:$W$9,MATCH(ROUNDUP((H$1)/10,0)*10,[1]Hugst!$R$4:$W$4,0))))</f>
        <v>4596.3847443644318</v>
      </c>
      <c r="I218">
        <f ca="1">IF($C218-I$1&lt;År1,0,H217*(1-VLOOKUP($A218,[1]Hugst!$R$5:$W$9,MATCH(ROUNDUP((I$1)/10,0)*10,[1]Hugst!$R$4:$W$4,0))))</f>
        <v>4593.9470138769921</v>
      </c>
      <c r="J218">
        <f ca="1">IF($C218-J$1&lt;År1,0,I217*(1-VLOOKUP($A218,[1]Hugst!$R$5:$W$9,MATCH(ROUNDUP((J$1)/10,0)*10,[1]Hugst!$R$4:$W$4,0))))</f>
        <v>4591.5297682534783</v>
      </c>
      <c r="K218">
        <f ca="1">IF($C218-K$1&lt;År1,0,J217*(1-VLOOKUP($A218,[1]Hugst!$R$5:$W$9,MATCH(ROUNDUP((K$1)/10,0)*10,[1]Hugst!$R$4:$W$4,0))))</f>
        <v>4589.1331531208689</v>
      </c>
      <c r="L218">
        <f ca="1">IF($C218-L$1&lt;År1,0,K217*(1-VLOOKUP($A218,[1]Hugst!$R$5:$W$9,MATCH(ROUNDUP((L$1)/10,0)*10,[1]Hugst!$R$4:$W$4,0))))</f>
        <v>4586.7573148762513</v>
      </c>
      <c r="M218">
        <f ca="1">IF($C218-M$1&lt;År1,0,L217*(1-VLOOKUP($A218,[1]Hugst!$R$5:$W$9,MATCH(ROUNDUP((M$1)/10,0)*10,[1]Hugst!$R$4:$W$4,0))))</f>
        <v>4584.4024006903801</v>
      </c>
      <c r="N218">
        <f ca="1">IF($C218-N$1&lt;År1,0,M217*(1-VLOOKUP($A218,[1]Hugst!$R$5:$W$9,MATCH(ROUNDUP((N$1)/10,0)*10,[1]Hugst!$R$4:$W$4,0))))</f>
        <v>4582.0685585111696</v>
      </c>
      <c r="O218">
        <f ca="1">IF($C218-O$1&lt;År1,0,N217*(1-VLOOKUP($A218,[1]Hugst!$R$5:$W$9,MATCH(ROUNDUP((O$1)/10,0)*10,[1]Hugst!$R$4:$W$4,0))))</f>
        <v>4579.7559370680192</v>
      </c>
      <c r="P218">
        <f ca="1">IF($C218-P$1&lt;År1,0,O217*(1-VLOOKUP($A218,[1]Hugst!$R$5:$W$9,MATCH(ROUNDUP((P$1)/10,0)*10,[1]Hugst!$R$4:$W$4,0))))</f>
        <v>4567.4165926624883</v>
      </c>
      <c r="Q218">
        <f ca="1">IF($C218-Q$1&lt;År1,0,P217*(1-VLOOKUP($A218,[1]Hugst!$R$5:$W$9,MATCH(ROUNDUP((Q$1)/10,0)*10,[1]Hugst!$R$4:$W$4,0))))</f>
        <v>4558.0118518092549</v>
      </c>
      <c r="R218">
        <f ca="1">IF($C218-R$1&lt;År1,0,Q217*(1-VLOOKUP($A218,[1]Hugst!$R$5:$W$9,MATCH(ROUNDUP((R$1)/10,0)*10,[1]Hugst!$R$4:$W$4,0))))</f>
        <v>4545.5282781465448</v>
      </c>
      <c r="S218">
        <f ca="1">IF($C218-S$1&lt;År1,0,R217*(1-VLOOKUP($A218,[1]Hugst!$R$5:$W$9,MATCH(ROUNDUP((S$1)/10,0)*10,[1]Hugst!$R$4:$W$4,0))))</f>
        <v>4533.0743777978514</v>
      </c>
      <c r="T218">
        <f ca="1">IF($C218-T$1&lt;År1,0,S217*(1-VLOOKUP($A218,[1]Hugst!$R$5:$W$9,MATCH(ROUNDUP((T$1)/10,0)*10,[1]Hugst!$R$4:$W$4,0))))</f>
        <v>4520.6500920267999</v>
      </c>
      <c r="U218">
        <f ca="1">IF($C218-U$1&lt;År1,0,T217*(1-VLOOKUP($A218,[1]Hugst!$R$5:$W$9,MATCH(ROUNDUP((U$1)/10,0)*10,[1]Hugst!$R$4:$W$4,0))))</f>
        <v>4508.2553622438536</v>
      </c>
      <c r="V218">
        <f ca="1">IF($C218-V$1&lt;År1,0,U217*(1-VLOOKUP($A218,[1]Hugst!$R$5:$W$9,MATCH(ROUNDUP((V$1)/10,0)*10,[1]Hugst!$R$4:$W$4,0))))</f>
        <v>4495.8901300061561</v>
      </c>
      <c r="W218">
        <f ca="1">IF($C218-W$1&lt;År1,0,V217*(1-VLOOKUP($A218,[1]Hugst!$R$5:$W$9,MATCH(ROUNDUP((W$1)/10,0)*10,[1]Hugst!$R$4:$W$4,0))))</f>
        <v>4483.5543370173609</v>
      </c>
      <c r="X218">
        <f ca="1">IF($C218-X$1&lt;År1,0,W217*(1-VLOOKUP($A218,[1]Hugst!$R$5:$W$9,MATCH(ROUNDUP((X$1)/10,0)*10,[1]Hugst!$R$4:$W$4,0))))</f>
        <v>4471.2479251272498</v>
      </c>
      <c r="Y218">
        <f ca="1">IF($C218-Y$1&lt;År1,0,X217*(1-VLOOKUP($A218,[1]Hugst!$R$5:$W$9,MATCH(ROUNDUP((Y$1)/10,0)*10,[1]Hugst!$R$4:$W$4,0))))</f>
        <v>4458.9708363314385</v>
      </c>
      <c r="Z218">
        <f ca="1">IF($C218-Z$1&lt;År1,0,Y217*(1-VLOOKUP($A218,[1]Hugst!$R$5:$W$9,MATCH(ROUNDUP((Z$1)/10,0)*10,[1]Hugst!$R$4:$W$4,0))))</f>
        <v>3165.8546418520486</v>
      </c>
      <c r="AA218">
        <f ca="1">IF($C218-AA$1&lt;År1,0,Z217*(1-VLOOKUP($A218,[1]Hugst!$R$5:$W$9,MATCH(ROUNDUP((AA$1)/10,0)*10,[1]Hugst!$R$4:$W$4,0))))</f>
        <v>3159.5315187136321</v>
      </c>
      <c r="AB218">
        <f ca="1">IF($C218-AB$1&lt;År1,0,AA217*(1-VLOOKUP($A218,[1]Hugst!$R$5:$W$9,MATCH(ROUNDUP((AB$1)/10,0)*10,[1]Hugst!$R$4:$W$4,0))))</f>
        <v>3160.2615091249245</v>
      </c>
      <c r="AC218">
        <f ca="1">IF($C218-AC$1&lt;År1,0,AB217*(1-VLOOKUP($A218,[1]Hugst!$R$5:$W$9,MATCH(ROUNDUP((AC$1)/10,0)*10,[1]Hugst!$R$4:$W$4,0))))</f>
        <v>3161.0080226397185</v>
      </c>
      <c r="AD218">
        <f ca="1">IF($C218-AD$1&lt;År1,0,AC217*(1-VLOOKUP($A218,[1]Hugst!$R$5:$W$9,MATCH(ROUNDUP((AD$1)/10,0)*10,[1]Hugst!$R$4:$W$4,0))))</f>
        <v>3161.7711052696577</v>
      </c>
      <c r="AE218">
        <f ca="1">IF($C218-AE$1&lt;År1,0,AD217*(1-VLOOKUP($A218,[1]Hugst!$R$5:$W$9,MATCH(ROUNDUP((AE$1)/10,0)*10,[1]Hugst!$R$4:$W$4,0))))</f>
        <v>3162.5508032215971</v>
      </c>
      <c r="AF218">
        <f ca="1">IF($C218-AF$1&lt;År1,0,AE217*(1-VLOOKUP($A218,[1]Hugst!$R$5:$W$9,MATCH(ROUNDUP((AF$1)/10,0)*10,[1]Hugst!$R$4:$W$4,0))))</f>
        <v>3163.347162898383</v>
      </c>
      <c r="AG218">
        <f ca="1">IF($C218-AG$1&lt;År1,0,AF217*(1-VLOOKUP($A218,[1]Hugst!$R$5:$W$9,MATCH(ROUNDUP((AG$1)/10,0)*10,[1]Hugst!$R$4:$W$4,0))))</f>
        <v>3164.1602308995475</v>
      </c>
      <c r="AH218">
        <f ca="1">IF($C218-AH$1&lt;År1,0,AG217*(1-VLOOKUP($A218,[1]Hugst!$R$5:$W$9,MATCH(ROUNDUP((AH$1)/10,0)*10,[1]Hugst!$R$4:$W$4,0))))</f>
        <v>3164.9900540220719</v>
      </c>
      <c r="AI218">
        <f ca="1">IF($C218-AI$1&lt;År1,0,AH217*(1-VLOOKUP($A218,[1]Hugst!$R$5:$W$9,MATCH(ROUNDUP((AI$1)/10,0)*10,[1]Hugst!$R$4:$W$4,0))))</f>
        <v>3165.8366792610464</v>
      </c>
      <c r="AJ218">
        <f ca="1">IF($C218-AJ$1&lt;År1,0,AI217*(1-VLOOKUP($A218,[1]Hugst!$R$5:$W$9,MATCH(ROUNDUP((AJ$1)/10,0)*10,[1]Hugst!$R$4:$W$4,0))))</f>
        <v>3168.4400989500195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636.13450928862039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634.70187265687969</v>
      </c>
      <c r="G220">
        <f ca="1">IF($C220-G$1&lt;År1,0,F219*(1-VLOOKUP($A220,[1]Hugst!$R$5:$W$9,MATCH(ROUNDUP((G$1)/10,0)*10,[1]Hugst!$R$4:$W$4,0))))</f>
        <v>636.13450928862039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633.2763992082987</v>
      </c>
      <c r="G221">
        <f ca="1">IF($C221-G$1&lt;År1,0,F220*(1-VLOOKUP($A221,[1]Hugst!$R$5:$W$9,MATCH(ROUNDUP((G$1)/10,0)*10,[1]Hugst!$R$4:$W$4,0))))</f>
        <v>634.70187265687969</v>
      </c>
      <c r="H221">
        <f ca="1">IF($C221-H$1&lt;År1,0,G220*(1-VLOOKUP($A221,[1]Hugst!$R$5:$W$9,MATCH(ROUNDUP((H$1)/10,0)*10,[1]Hugst!$R$4:$W$4,0))))</f>
        <v>636.13450928862039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631.85805312695265</v>
      </c>
      <c r="G222">
        <f ca="1">IF($C222-G$1&lt;År1,0,F221*(1-VLOOKUP($A222,[1]Hugst!$R$5:$W$9,MATCH(ROUNDUP((G$1)/10,0)*10,[1]Hugst!$R$4:$W$4,0))))</f>
        <v>633.2763992082987</v>
      </c>
      <c r="H222">
        <f ca="1">IF($C222-H$1&lt;År1,0,G221*(1-VLOOKUP($A222,[1]Hugst!$R$5:$W$9,MATCH(ROUNDUP((H$1)/10,0)*10,[1]Hugst!$R$4:$W$4,0))))</f>
        <v>634.70187265687969</v>
      </c>
      <c r="I222">
        <f ca="1">IF($C222-I$1&lt;År1,0,H221*(1-VLOOKUP($A222,[1]Hugst!$R$5:$W$9,MATCH(ROUNDUP((I$1)/10,0)*10,[1]Hugst!$R$4:$W$4,0))))</f>
        <v>636.13450928862039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630.44679877602812</v>
      </c>
      <c r="G223">
        <f ca="1">IF($C223-G$1&lt;År1,0,F222*(1-VLOOKUP($A223,[1]Hugst!$R$5:$W$9,MATCH(ROUNDUP((G$1)/10,0)*10,[1]Hugst!$R$4:$W$4,0))))</f>
        <v>631.85805312695265</v>
      </c>
      <c r="H223">
        <f ca="1">IF($C223-H$1&lt;År1,0,G222*(1-VLOOKUP($A223,[1]Hugst!$R$5:$W$9,MATCH(ROUNDUP((H$1)/10,0)*10,[1]Hugst!$R$4:$W$4,0))))</f>
        <v>633.2763992082987</v>
      </c>
      <c r="I223">
        <f ca="1">IF($C223-I$1&lt;År1,0,H222*(1-VLOOKUP($A223,[1]Hugst!$R$5:$W$9,MATCH(ROUNDUP((I$1)/10,0)*10,[1]Hugst!$R$4:$W$4,0))))</f>
        <v>634.70187265687969</v>
      </c>
      <c r="J223">
        <f ca="1">IF($C223-J$1&lt;År1,0,I222*(1-VLOOKUP($A223,[1]Hugst!$R$5:$W$9,MATCH(ROUNDUP((J$1)/10,0)*10,[1]Hugst!$R$4:$W$4,0))))</f>
        <v>636.13450928862039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629.04260069684574</v>
      </c>
      <c r="G224">
        <f ca="1">IF($C224-G$1&lt;År1,0,F223*(1-VLOOKUP($A224,[1]Hugst!$R$5:$W$9,MATCH(ROUNDUP((G$1)/10,0)*10,[1]Hugst!$R$4:$W$4,0))))</f>
        <v>630.44679877602812</v>
      </c>
      <c r="H224">
        <f ca="1">IF($C224-H$1&lt;År1,0,G223*(1-VLOOKUP($A224,[1]Hugst!$R$5:$W$9,MATCH(ROUNDUP((H$1)/10,0)*10,[1]Hugst!$R$4:$W$4,0))))</f>
        <v>631.85805312695265</v>
      </c>
      <c r="I224">
        <f ca="1">IF($C224-I$1&lt;År1,0,H223*(1-VLOOKUP($A224,[1]Hugst!$R$5:$W$9,MATCH(ROUNDUP((I$1)/10,0)*10,[1]Hugst!$R$4:$W$4,0))))</f>
        <v>633.2763992082987</v>
      </c>
      <c r="J224">
        <f ca="1">IF($C224-J$1&lt;År1,0,I223*(1-VLOOKUP($A224,[1]Hugst!$R$5:$W$9,MATCH(ROUNDUP((J$1)/10,0)*10,[1]Hugst!$R$4:$W$4,0))))</f>
        <v>634.70187265687969</v>
      </c>
      <c r="K224">
        <f ca="1">IF($C224-K$1&lt;År1,0,J223*(1-VLOOKUP($A224,[1]Hugst!$R$5:$W$9,MATCH(ROUNDUP((K$1)/10,0)*10,[1]Hugst!$R$4:$W$4,0))))</f>
        <v>636.13450928862039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627.6454236080765</v>
      </c>
      <c r="G225">
        <f ca="1">IF($C225-G$1&lt;År1,0,F224*(1-VLOOKUP($A225,[1]Hugst!$R$5:$W$9,MATCH(ROUNDUP((G$1)/10,0)*10,[1]Hugst!$R$4:$W$4,0))))</f>
        <v>629.04260069684574</v>
      </c>
      <c r="H225">
        <f ca="1">IF($C225-H$1&lt;År1,0,G224*(1-VLOOKUP($A225,[1]Hugst!$R$5:$W$9,MATCH(ROUNDUP((H$1)/10,0)*10,[1]Hugst!$R$4:$W$4,0))))</f>
        <v>630.44679877602812</v>
      </c>
      <c r="I225">
        <f ca="1">IF($C225-I$1&lt;År1,0,H224*(1-VLOOKUP($A225,[1]Hugst!$R$5:$W$9,MATCH(ROUNDUP((I$1)/10,0)*10,[1]Hugst!$R$4:$W$4,0))))</f>
        <v>631.85805312695265</v>
      </c>
      <c r="J225">
        <f ca="1">IF($C225-J$1&lt;År1,0,I224*(1-VLOOKUP($A225,[1]Hugst!$R$5:$W$9,MATCH(ROUNDUP((J$1)/10,0)*10,[1]Hugst!$R$4:$W$4,0))))</f>
        <v>633.2763992082987</v>
      </c>
      <c r="K225">
        <f ca="1">IF($C225-K$1&lt;År1,0,J224*(1-VLOOKUP($A225,[1]Hugst!$R$5:$W$9,MATCH(ROUNDUP((K$1)/10,0)*10,[1]Hugst!$R$4:$W$4,0))))</f>
        <v>634.70187265687969</v>
      </c>
      <c r="L225">
        <f ca="1">IF($C225-L$1&lt;År1,0,K224*(1-VLOOKUP($A225,[1]Hugst!$R$5:$W$9,MATCH(ROUNDUP((L$1)/10,0)*10,[1]Hugst!$R$4:$W$4,0))))</f>
        <v>636.13450928862039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626.25523240472512</v>
      </c>
      <c r="G226">
        <f ca="1">IF($C226-G$1&lt;År1,0,F225*(1-VLOOKUP($A226,[1]Hugst!$R$5:$W$9,MATCH(ROUNDUP((G$1)/10,0)*10,[1]Hugst!$R$4:$W$4,0))))</f>
        <v>627.6454236080765</v>
      </c>
      <c r="H226">
        <f ca="1">IF($C226-H$1&lt;År1,0,G225*(1-VLOOKUP($A226,[1]Hugst!$R$5:$W$9,MATCH(ROUNDUP((H$1)/10,0)*10,[1]Hugst!$R$4:$W$4,0))))</f>
        <v>629.04260069684574</v>
      </c>
      <c r="I226">
        <f ca="1">IF($C226-I$1&lt;År1,0,H225*(1-VLOOKUP($A226,[1]Hugst!$R$5:$W$9,MATCH(ROUNDUP((I$1)/10,0)*10,[1]Hugst!$R$4:$W$4,0))))</f>
        <v>630.44679877602812</v>
      </c>
      <c r="J226">
        <f ca="1">IF($C226-J$1&lt;År1,0,I225*(1-VLOOKUP($A226,[1]Hugst!$R$5:$W$9,MATCH(ROUNDUP((J$1)/10,0)*10,[1]Hugst!$R$4:$W$4,0))))</f>
        <v>631.85805312695265</v>
      </c>
      <c r="K226">
        <f ca="1">IF($C226-K$1&lt;År1,0,J225*(1-VLOOKUP($A226,[1]Hugst!$R$5:$W$9,MATCH(ROUNDUP((K$1)/10,0)*10,[1]Hugst!$R$4:$W$4,0))))</f>
        <v>633.2763992082987</v>
      </c>
      <c r="L226">
        <f ca="1">IF($C226-L$1&lt;År1,0,K225*(1-VLOOKUP($A226,[1]Hugst!$R$5:$W$9,MATCH(ROUNDUP((L$1)/10,0)*10,[1]Hugst!$R$4:$W$4,0))))</f>
        <v>634.70187265687969</v>
      </c>
      <c r="M226">
        <f ca="1">IF($C226-M$1&lt;År1,0,L225*(1-VLOOKUP($A226,[1]Hugst!$R$5:$W$9,MATCH(ROUNDUP((M$1)/10,0)*10,[1]Hugst!$R$4:$W$4,0))))</f>
        <v>636.13450928862039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624.8719921574102</v>
      </c>
      <c r="G227">
        <f ca="1">IF($C227-G$1&lt;År1,0,F226*(1-VLOOKUP($A227,[1]Hugst!$R$5:$W$9,MATCH(ROUNDUP((G$1)/10,0)*10,[1]Hugst!$R$4:$W$4,0))))</f>
        <v>626.25523240472512</v>
      </c>
      <c r="H227">
        <f ca="1">IF($C227-H$1&lt;År1,0,G226*(1-VLOOKUP($A227,[1]Hugst!$R$5:$W$9,MATCH(ROUNDUP((H$1)/10,0)*10,[1]Hugst!$R$4:$W$4,0))))</f>
        <v>627.6454236080765</v>
      </c>
      <c r="I227">
        <f ca="1">IF($C227-I$1&lt;År1,0,H226*(1-VLOOKUP($A227,[1]Hugst!$R$5:$W$9,MATCH(ROUNDUP((I$1)/10,0)*10,[1]Hugst!$R$4:$W$4,0))))</f>
        <v>629.04260069684574</v>
      </c>
      <c r="J227">
        <f ca="1">IF($C227-J$1&lt;År1,0,I226*(1-VLOOKUP($A227,[1]Hugst!$R$5:$W$9,MATCH(ROUNDUP((J$1)/10,0)*10,[1]Hugst!$R$4:$W$4,0))))</f>
        <v>630.44679877602812</v>
      </c>
      <c r="K227">
        <f ca="1">IF($C227-K$1&lt;År1,0,J226*(1-VLOOKUP($A227,[1]Hugst!$R$5:$W$9,MATCH(ROUNDUP((K$1)/10,0)*10,[1]Hugst!$R$4:$W$4,0))))</f>
        <v>631.85805312695265</v>
      </c>
      <c r="L227">
        <f ca="1">IF($C227-L$1&lt;År1,0,K226*(1-VLOOKUP($A227,[1]Hugst!$R$5:$W$9,MATCH(ROUNDUP((L$1)/10,0)*10,[1]Hugst!$R$4:$W$4,0))))</f>
        <v>633.2763992082987</v>
      </c>
      <c r="M227">
        <f ca="1">IF($C227-M$1&lt;År1,0,L226*(1-VLOOKUP($A227,[1]Hugst!$R$5:$W$9,MATCH(ROUNDUP((M$1)/10,0)*10,[1]Hugst!$R$4:$W$4,0))))</f>
        <v>634.70187265687969</v>
      </c>
      <c r="N227">
        <f ca="1">IF($C227-N$1&lt;År1,0,M226*(1-VLOOKUP($A227,[1]Hugst!$R$5:$W$9,MATCH(ROUNDUP((N$1)/10,0)*10,[1]Hugst!$R$4:$W$4,0))))</f>
        <v>636.13450928862039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623.49566811132399</v>
      </c>
      <c r="G228">
        <f ca="1">IF($C228-G$1&lt;År1,0,F227*(1-VLOOKUP($A228,[1]Hugst!$R$5:$W$9,MATCH(ROUNDUP((G$1)/10,0)*10,[1]Hugst!$R$4:$W$4,0))))</f>
        <v>624.8719921574102</v>
      </c>
      <c r="H228">
        <f ca="1">IF($C228-H$1&lt;År1,0,G227*(1-VLOOKUP($A228,[1]Hugst!$R$5:$W$9,MATCH(ROUNDUP((H$1)/10,0)*10,[1]Hugst!$R$4:$W$4,0))))</f>
        <v>626.25523240472512</v>
      </c>
      <c r="I228">
        <f ca="1">IF($C228-I$1&lt;År1,0,H227*(1-VLOOKUP($A228,[1]Hugst!$R$5:$W$9,MATCH(ROUNDUP((I$1)/10,0)*10,[1]Hugst!$R$4:$W$4,0))))</f>
        <v>627.6454236080765</v>
      </c>
      <c r="J228">
        <f ca="1">IF($C228-J$1&lt;År1,0,I227*(1-VLOOKUP($A228,[1]Hugst!$R$5:$W$9,MATCH(ROUNDUP((J$1)/10,0)*10,[1]Hugst!$R$4:$W$4,0))))</f>
        <v>629.04260069684574</v>
      </c>
      <c r="K228">
        <f ca="1">IF($C228-K$1&lt;År1,0,J227*(1-VLOOKUP($A228,[1]Hugst!$R$5:$W$9,MATCH(ROUNDUP((K$1)/10,0)*10,[1]Hugst!$R$4:$W$4,0))))</f>
        <v>630.44679877602812</v>
      </c>
      <c r="L228">
        <f ca="1">IF($C228-L$1&lt;År1,0,K227*(1-VLOOKUP($A228,[1]Hugst!$R$5:$W$9,MATCH(ROUNDUP((L$1)/10,0)*10,[1]Hugst!$R$4:$W$4,0))))</f>
        <v>631.85805312695265</v>
      </c>
      <c r="M228">
        <f ca="1">IF($C228-M$1&lt;År1,0,L227*(1-VLOOKUP($A228,[1]Hugst!$R$5:$W$9,MATCH(ROUNDUP((M$1)/10,0)*10,[1]Hugst!$R$4:$W$4,0))))</f>
        <v>633.2763992082987</v>
      </c>
      <c r="N228">
        <f ca="1">IF($C228-N$1&lt;År1,0,M227*(1-VLOOKUP($A228,[1]Hugst!$R$5:$W$9,MATCH(ROUNDUP((N$1)/10,0)*10,[1]Hugst!$R$4:$W$4,0))))</f>
        <v>634.70187265687969</v>
      </c>
      <c r="O228">
        <f ca="1">IF($C228-O$1&lt;År1,0,N227*(1-VLOOKUP($A228,[1]Hugst!$R$5:$W$9,MATCH(ROUNDUP((O$1)/10,0)*10,[1]Hugst!$R$4:$W$4,0))))</f>
        <v>636.13450928862039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1.396392825267867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623.522618510744</v>
      </c>
      <c r="G229">
        <f ca="1">IF($C229-G$1&lt;År1,0,F228*(1-VLOOKUP($A229,[1]Hugst!$R$5:$W$9,MATCH(ROUNDUP((G$1)/10,0)*10,[1]Hugst!$R$4:$W$4,0))))</f>
        <v>623.49566811132399</v>
      </c>
      <c r="H229">
        <f ca="1">IF($C229-H$1&lt;År1,0,G228*(1-VLOOKUP($A229,[1]Hugst!$R$5:$W$9,MATCH(ROUNDUP((H$1)/10,0)*10,[1]Hugst!$R$4:$W$4,0))))</f>
        <v>624.8719921574102</v>
      </c>
      <c r="I229">
        <f ca="1">IF($C229-I$1&lt;År1,0,H228*(1-VLOOKUP($A229,[1]Hugst!$R$5:$W$9,MATCH(ROUNDUP((I$1)/10,0)*10,[1]Hugst!$R$4:$W$4,0))))</f>
        <v>626.25523240472512</v>
      </c>
      <c r="J229">
        <f ca="1">IF($C229-J$1&lt;År1,0,I228*(1-VLOOKUP($A229,[1]Hugst!$R$5:$W$9,MATCH(ROUNDUP((J$1)/10,0)*10,[1]Hugst!$R$4:$W$4,0))))</f>
        <v>627.6454236080765</v>
      </c>
      <c r="K229">
        <f ca="1">IF($C229-K$1&lt;År1,0,J228*(1-VLOOKUP($A229,[1]Hugst!$R$5:$W$9,MATCH(ROUNDUP((K$1)/10,0)*10,[1]Hugst!$R$4:$W$4,0))))</f>
        <v>629.04260069684574</v>
      </c>
      <c r="L229">
        <f ca="1">IF($C229-L$1&lt;År1,0,K228*(1-VLOOKUP($A229,[1]Hugst!$R$5:$W$9,MATCH(ROUNDUP((L$1)/10,0)*10,[1]Hugst!$R$4:$W$4,0))))</f>
        <v>630.44679877602812</v>
      </c>
      <c r="M229">
        <f ca="1">IF($C229-M$1&lt;År1,0,L228*(1-VLOOKUP($A229,[1]Hugst!$R$5:$W$9,MATCH(ROUNDUP((M$1)/10,0)*10,[1]Hugst!$R$4:$W$4,0))))</f>
        <v>631.85805312695265</v>
      </c>
      <c r="N229">
        <f ca="1">IF($C229-N$1&lt;År1,0,M228*(1-VLOOKUP($A229,[1]Hugst!$R$5:$W$9,MATCH(ROUNDUP((N$1)/10,0)*10,[1]Hugst!$R$4:$W$4,0))))</f>
        <v>633.2763992082987</v>
      </c>
      <c r="O229">
        <f ca="1">IF($C229-O$1&lt;År1,0,N228*(1-VLOOKUP($A229,[1]Hugst!$R$5:$W$9,MATCH(ROUNDUP((O$1)/10,0)*10,[1]Hugst!$R$4:$W$4,0))))</f>
        <v>634.70187265687969</v>
      </c>
      <c r="P229">
        <f ca="1">IF($C229-P$1&lt;År1,0,O228*(1-VLOOKUP($A229,[1]Hugst!$R$5:$W$9,MATCH(ROUNDUP((P$1)/10,0)*10,[1]Hugst!$R$4:$W$4,0))))</f>
        <v>634.73811646335264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2.7865755858729244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823.32573916647709</v>
      </c>
      <c r="G230">
        <f ca="1">IF($C230-G$1&lt;År1,0,F229*(1-VLOOKUP($A230,[1]Hugst!$R$5:$W$9,MATCH(ROUNDUP((G$1)/10,0)*10,[1]Hugst!$R$4:$W$4,0))))</f>
        <v>623.522618510744</v>
      </c>
      <c r="H230">
        <f ca="1">IF($C230-H$1&lt;År1,0,G229*(1-VLOOKUP($A230,[1]Hugst!$R$5:$W$9,MATCH(ROUNDUP((H$1)/10,0)*10,[1]Hugst!$R$4:$W$4,0))))</f>
        <v>623.49566811132399</v>
      </c>
      <c r="I230">
        <f ca="1">IF($C230-I$1&lt;År1,0,H229*(1-VLOOKUP($A230,[1]Hugst!$R$5:$W$9,MATCH(ROUNDUP((I$1)/10,0)*10,[1]Hugst!$R$4:$W$4,0))))</f>
        <v>624.8719921574102</v>
      </c>
      <c r="J230">
        <f ca="1">IF($C230-J$1&lt;År1,0,I229*(1-VLOOKUP($A230,[1]Hugst!$R$5:$W$9,MATCH(ROUNDUP((J$1)/10,0)*10,[1]Hugst!$R$4:$W$4,0))))</f>
        <v>626.25523240472512</v>
      </c>
      <c r="K230">
        <f ca="1">IF($C230-K$1&lt;År1,0,J229*(1-VLOOKUP($A230,[1]Hugst!$R$5:$W$9,MATCH(ROUNDUP((K$1)/10,0)*10,[1]Hugst!$R$4:$W$4,0))))</f>
        <v>627.6454236080765</v>
      </c>
      <c r="L230">
        <f ca="1">IF($C230-L$1&lt;År1,0,K229*(1-VLOOKUP($A230,[1]Hugst!$R$5:$W$9,MATCH(ROUNDUP((L$1)/10,0)*10,[1]Hugst!$R$4:$W$4,0))))</f>
        <v>629.04260069684574</v>
      </c>
      <c r="M230">
        <f ca="1">IF($C230-M$1&lt;År1,0,L229*(1-VLOOKUP($A230,[1]Hugst!$R$5:$W$9,MATCH(ROUNDUP((M$1)/10,0)*10,[1]Hugst!$R$4:$W$4,0))))</f>
        <v>630.44679877602812</v>
      </c>
      <c r="N230">
        <f ca="1">IF($C230-N$1&lt;År1,0,M229*(1-VLOOKUP($A230,[1]Hugst!$R$5:$W$9,MATCH(ROUNDUP((N$1)/10,0)*10,[1]Hugst!$R$4:$W$4,0))))</f>
        <v>631.85805312695265</v>
      </c>
      <c r="O230">
        <f ca="1">IF($C230-O$1&lt;År1,0,N229*(1-VLOOKUP($A230,[1]Hugst!$R$5:$W$9,MATCH(ROUNDUP((O$1)/10,0)*10,[1]Hugst!$R$4:$W$4,0))))</f>
        <v>633.2763992082987</v>
      </c>
      <c r="P230">
        <f ca="1">IF($C230-P$1&lt;År1,0,O229*(1-VLOOKUP($A230,[1]Hugst!$R$5:$W$9,MATCH(ROUNDUP((P$1)/10,0)*10,[1]Hugst!$R$4:$W$4,0))))</f>
        <v>633.30862464373047</v>
      </c>
      <c r="Q230">
        <f ca="1">IF($C230-Q$1&lt;År1,0,P229*(1-VLOOKUP($A230,[1]Hugst!$R$5:$W$9,MATCH(ROUNDUP((Q$1)/10,0)*10,[1]Hugst!$R$4:$W$4,0))))</f>
        <v>633.34478889062825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4.170577637727547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823.35395898068566</v>
      </c>
      <c r="G231">
        <f ca="1">IF($C231-G$1&lt;År1,0,F230*(1-VLOOKUP($A231,[1]Hugst!$R$5:$W$9,MATCH(ROUNDUP((G$1)/10,0)*10,[1]Hugst!$R$4:$W$4,0))))</f>
        <v>823.32573916647709</v>
      </c>
      <c r="H231">
        <f ca="1">IF($C231-H$1&lt;År1,0,G230*(1-VLOOKUP($A231,[1]Hugst!$R$5:$W$9,MATCH(ROUNDUP((H$1)/10,0)*10,[1]Hugst!$R$4:$W$4,0))))</f>
        <v>623.522618510744</v>
      </c>
      <c r="I231">
        <f ca="1">IF($C231-I$1&lt;År1,0,H230*(1-VLOOKUP($A231,[1]Hugst!$R$5:$W$9,MATCH(ROUNDUP((I$1)/10,0)*10,[1]Hugst!$R$4:$W$4,0))))</f>
        <v>623.49566811132399</v>
      </c>
      <c r="J231">
        <f ca="1">IF($C231-J$1&lt;År1,0,I230*(1-VLOOKUP($A231,[1]Hugst!$R$5:$W$9,MATCH(ROUNDUP((J$1)/10,0)*10,[1]Hugst!$R$4:$W$4,0))))</f>
        <v>624.8719921574102</v>
      </c>
      <c r="K231">
        <f ca="1">IF($C231-K$1&lt;År1,0,J230*(1-VLOOKUP($A231,[1]Hugst!$R$5:$W$9,MATCH(ROUNDUP((K$1)/10,0)*10,[1]Hugst!$R$4:$W$4,0))))</f>
        <v>626.25523240472512</v>
      </c>
      <c r="L231">
        <f ca="1">IF($C231-L$1&lt;År1,0,K230*(1-VLOOKUP($A231,[1]Hugst!$R$5:$W$9,MATCH(ROUNDUP((L$1)/10,0)*10,[1]Hugst!$R$4:$W$4,0))))</f>
        <v>627.6454236080765</v>
      </c>
      <c r="M231">
        <f ca="1">IF($C231-M$1&lt;År1,0,L230*(1-VLOOKUP($A231,[1]Hugst!$R$5:$W$9,MATCH(ROUNDUP((M$1)/10,0)*10,[1]Hugst!$R$4:$W$4,0))))</f>
        <v>629.04260069684574</v>
      </c>
      <c r="N231">
        <f ca="1">IF($C231-N$1&lt;År1,0,M230*(1-VLOOKUP($A231,[1]Hugst!$R$5:$W$9,MATCH(ROUNDUP((N$1)/10,0)*10,[1]Hugst!$R$4:$W$4,0))))</f>
        <v>630.44679877602812</v>
      </c>
      <c r="O231">
        <f ca="1">IF($C231-O$1&lt;År1,0,N230*(1-VLOOKUP($A231,[1]Hugst!$R$5:$W$9,MATCH(ROUNDUP((O$1)/10,0)*10,[1]Hugst!$R$4:$W$4,0))))</f>
        <v>631.85805312695265</v>
      </c>
      <c r="P231">
        <f ca="1">IF($C231-P$1&lt;År1,0,O230*(1-VLOOKUP($A231,[1]Hugst!$R$5:$W$9,MATCH(ROUNDUP((P$1)/10,0)*10,[1]Hugst!$R$4:$W$4,0))))</f>
        <v>631.88628028320727</v>
      </c>
      <c r="Q231">
        <f ca="1">IF($C231-Q$1&lt;År1,0,P230*(1-VLOOKUP($A231,[1]Hugst!$R$5:$W$9,MATCH(ROUNDUP((Q$1)/10,0)*10,[1]Hugst!$R$4:$W$4,0))))</f>
        <v>631.91843497987838</v>
      </c>
      <c r="R231">
        <f ca="1">IF($C231-R$1&lt;År1,0,Q230*(1-VLOOKUP($A231,[1]Hugst!$R$5:$W$9,MATCH(ROUNDUP((R$1)/10,0)*10,[1]Hugst!$R$4:$W$4,0))))</f>
        <v>631.95451984184399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5.5484281936787738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823.38280621016531</v>
      </c>
      <c r="G232">
        <f ca="1">IF($C232-G$1&lt;År1,0,F231*(1-VLOOKUP($A232,[1]Hugst!$R$5:$W$9,MATCH(ROUNDUP((G$1)/10,0)*10,[1]Hugst!$R$4:$W$4,0))))</f>
        <v>823.35395898068566</v>
      </c>
      <c r="H232">
        <f ca="1">IF($C232-H$1&lt;År1,0,G231*(1-VLOOKUP($A232,[1]Hugst!$R$5:$W$9,MATCH(ROUNDUP((H$1)/10,0)*10,[1]Hugst!$R$4:$W$4,0))))</f>
        <v>823.32573916647709</v>
      </c>
      <c r="I232">
        <f ca="1">IF($C232-I$1&lt;År1,0,H231*(1-VLOOKUP($A232,[1]Hugst!$R$5:$W$9,MATCH(ROUNDUP((I$1)/10,0)*10,[1]Hugst!$R$4:$W$4,0))))</f>
        <v>623.522618510744</v>
      </c>
      <c r="J232">
        <f ca="1">IF($C232-J$1&lt;År1,0,I231*(1-VLOOKUP($A232,[1]Hugst!$R$5:$W$9,MATCH(ROUNDUP((J$1)/10,0)*10,[1]Hugst!$R$4:$W$4,0))))</f>
        <v>623.49566811132399</v>
      </c>
      <c r="K232">
        <f ca="1">IF($C232-K$1&lt;År1,0,J231*(1-VLOOKUP($A232,[1]Hugst!$R$5:$W$9,MATCH(ROUNDUP((K$1)/10,0)*10,[1]Hugst!$R$4:$W$4,0))))</f>
        <v>624.8719921574102</v>
      </c>
      <c r="L232">
        <f ca="1">IF($C232-L$1&lt;År1,0,K231*(1-VLOOKUP($A232,[1]Hugst!$R$5:$W$9,MATCH(ROUNDUP((L$1)/10,0)*10,[1]Hugst!$R$4:$W$4,0))))</f>
        <v>626.25523240472512</v>
      </c>
      <c r="M232">
        <f ca="1">IF($C232-M$1&lt;År1,0,L231*(1-VLOOKUP($A232,[1]Hugst!$R$5:$W$9,MATCH(ROUNDUP((M$1)/10,0)*10,[1]Hugst!$R$4:$W$4,0))))</f>
        <v>627.6454236080765</v>
      </c>
      <c r="N232">
        <f ca="1">IF($C232-N$1&lt;År1,0,M231*(1-VLOOKUP($A232,[1]Hugst!$R$5:$W$9,MATCH(ROUNDUP((N$1)/10,0)*10,[1]Hugst!$R$4:$W$4,0))))</f>
        <v>629.04260069684574</v>
      </c>
      <c r="O232">
        <f ca="1">IF($C232-O$1&lt;År1,0,N231*(1-VLOOKUP($A232,[1]Hugst!$R$5:$W$9,MATCH(ROUNDUP((O$1)/10,0)*10,[1]Hugst!$R$4:$W$4,0))))</f>
        <v>630.44679877602812</v>
      </c>
      <c r="P232">
        <f ca="1">IF($C232-P$1&lt;År1,0,O231*(1-VLOOKUP($A232,[1]Hugst!$R$5:$W$9,MATCH(ROUNDUP((P$1)/10,0)*10,[1]Hugst!$R$4:$W$4,0))))</f>
        <v>630.47104764447886</v>
      </c>
      <c r="Q232">
        <f ca="1">IF($C232-Q$1&lt;År1,0,P231*(1-VLOOKUP($A232,[1]Hugst!$R$5:$W$9,MATCH(ROUNDUP((Q$1)/10,0)*10,[1]Hugst!$R$4:$W$4,0))))</f>
        <v>630.49921283868321</v>
      </c>
      <c r="R232">
        <f ca="1">IF($C232-R$1&lt;År1,0,Q231*(1-VLOOKUP($A232,[1]Hugst!$R$5:$W$9,MATCH(ROUNDUP((R$1)/10,0)*10,[1]Hugst!$R$4:$W$4,0))))</f>
        <v>630.53129695187374</v>
      </c>
      <c r="S232">
        <f ca="1">IF($C232-S$1&lt;År1,0,R231*(1-VLOOKUP($A232,[1]Hugst!$R$5:$W$9,MATCH(ROUNDUP((S$1)/10,0)*10,[1]Hugst!$R$4:$W$4,0))))</f>
        <v>630.56730260316681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6.9201563242258999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823.41227603087793</v>
      </c>
      <c r="G233">
        <f ca="1">IF($C233-G$1&lt;År1,0,F232*(1-VLOOKUP($A233,[1]Hugst!$R$5:$W$9,MATCH(ROUNDUP((G$1)/10,0)*10,[1]Hugst!$R$4:$W$4,0))))</f>
        <v>823.38280621016531</v>
      </c>
      <c r="H233">
        <f ca="1">IF($C233-H$1&lt;År1,0,G232*(1-VLOOKUP($A233,[1]Hugst!$R$5:$W$9,MATCH(ROUNDUP((H$1)/10,0)*10,[1]Hugst!$R$4:$W$4,0))))</f>
        <v>823.35395898068566</v>
      </c>
      <c r="I233">
        <f ca="1">IF($C233-I$1&lt;År1,0,H232*(1-VLOOKUP($A233,[1]Hugst!$R$5:$W$9,MATCH(ROUNDUP((I$1)/10,0)*10,[1]Hugst!$R$4:$W$4,0))))</f>
        <v>823.32573916647709</v>
      </c>
      <c r="J233">
        <f ca="1">IF($C233-J$1&lt;År1,0,I232*(1-VLOOKUP($A233,[1]Hugst!$R$5:$W$9,MATCH(ROUNDUP((J$1)/10,0)*10,[1]Hugst!$R$4:$W$4,0))))</f>
        <v>623.522618510744</v>
      </c>
      <c r="K233">
        <f ca="1">IF($C233-K$1&lt;År1,0,J232*(1-VLOOKUP($A233,[1]Hugst!$R$5:$W$9,MATCH(ROUNDUP((K$1)/10,0)*10,[1]Hugst!$R$4:$W$4,0))))</f>
        <v>623.49566811132399</v>
      </c>
      <c r="L233">
        <f ca="1">IF($C233-L$1&lt;År1,0,K232*(1-VLOOKUP($A233,[1]Hugst!$R$5:$W$9,MATCH(ROUNDUP((L$1)/10,0)*10,[1]Hugst!$R$4:$W$4,0))))</f>
        <v>624.8719921574102</v>
      </c>
      <c r="M233">
        <f ca="1">IF($C233-M$1&lt;År1,0,L232*(1-VLOOKUP($A233,[1]Hugst!$R$5:$W$9,MATCH(ROUNDUP((M$1)/10,0)*10,[1]Hugst!$R$4:$W$4,0))))</f>
        <v>626.25523240472512</v>
      </c>
      <c r="N233">
        <f ca="1">IF($C233-N$1&lt;År1,0,M232*(1-VLOOKUP($A233,[1]Hugst!$R$5:$W$9,MATCH(ROUNDUP((N$1)/10,0)*10,[1]Hugst!$R$4:$W$4,0))))</f>
        <v>627.6454236080765</v>
      </c>
      <c r="O233">
        <f ca="1">IF($C233-O$1&lt;År1,0,N232*(1-VLOOKUP($A233,[1]Hugst!$R$5:$W$9,MATCH(ROUNDUP((O$1)/10,0)*10,[1]Hugst!$R$4:$W$4,0))))</f>
        <v>629.04260069684574</v>
      </c>
      <c r="P233">
        <f ca="1">IF($C233-P$1&lt;År1,0,O232*(1-VLOOKUP($A233,[1]Hugst!$R$5:$W$9,MATCH(ROUNDUP((P$1)/10,0)*10,[1]Hugst!$R$4:$W$4,0))))</f>
        <v>629.0628911689588</v>
      </c>
      <c r="Q233">
        <f ca="1">IF($C233-Q$1&lt;År1,0,P232*(1-VLOOKUP($A233,[1]Hugst!$R$5:$W$9,MATCH(ROUNDUP((Q$1)/10,0)*10,[1]Hugst!$R$4:$W$4,0))))</f>
        <v>629.08708680818609</v>
      </c>
      <c r="R233">
        <f ca="1">IF($C233-R$1&lt;År1,0,Q232*(1-VLOOKUP($A233,[1]Hugst!$R$5:$W$9,MATCH(ROUNDUP((R$1)/10,0)*10,[1]Hugst!$R$4:$W$4,0))))</f>
        <v>629.11519017635442</v>
      </c>
      <c r="S233">
        <f ca="1">IF($C233-S$1&lt;År1,0,R232*(1-VLOOKUP($A233,[1]Hugst!$R$5:$W$9,MATCH(ROUNDUP((S$1)/10,0)*10,[1]Hugst!$R$4:$W$4,0))))</f>
        <v>629.14720386100373</v>
      </c>
      <c r="T233">
        <f ca="1">IF($C233-T$1&lt;År1,0,S232*(1-VLOOKUP($A233,[1]Hugst!$R$5:$W$9,MATCH(ROUNDUP((T$1)/10,0)*10,[1]Hugst!$R$4:$W$4,0))))</f>
        <v>629.18313047550134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8.2857909582180582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823.44236364658911</v>
      </c>
      <c r="G234">
        <f ca="1">IF($C234-G$1&lt;År1,0,F233*(1-VLOOKUP($A234,[1]Hugst!$R$5:$W$9,MATCH(ROUNDUP((G$1)/10,0)*10,[1]Hugst!$R$4:$W$4,0))))</f>
        <v>823.41227603087793</v>
      </c>
      <c r="H234">
        <f ca="1">IF($C234-H$1&lt;År1,0,G233*(1-VLOOKUP($A234,[1]Hugst!$R$5:$W$9,MATCH(ROUNDUP((H$1)/10,0)*10,[1]Hugst!$R$4:$W$4,0))))</f>
        <v>823.38280621016531</v>
      </c>
      <c r="I234">
        <f ca="1">IF($C234-I$1&lt;År1,0,H233*(1-VLOOKUP($A234,[1]Hugst!$R$5:$W$9,MATCH(ROUNDUP((I$1)/10,0)*10,[1]Hugst!$R$4:$W$4,0))))</f>
        <v>823.35395898068566</v>
      </c>
      <c r="J234">
        <f ca="1">IF($C234-J$1&lt;År1,0,I233*(1-VLOOKUP($A234,[1]Hugst!$R$5:$W$9,MATCH(ROUNDUP((J$1)/10,0)*10,[1]Hugst!$R$4:$W$4,0))))</f>
        <v>823.32573916647709</v>
      </c>
      <c r="K234">
        <f ca="1">IF($C234-K$1&lt;År1,0,J233*(1-VLOOKUP($A234,[1]Hugst!$R$5:$W$9,MATCH(ROUNDUP((K$1)/10,0)*10,[1]Hugst!$R$4:$W$4,0))))</f>
        <v>623.522618510744</v>
      </c>
      <c r="L234">
        <f ca="1">IF($C234-L$1&lt;År1,0,K233*(1-VLOOKUP($A234,[1]Hugst!$R$5:$W$9,MATCH(ROUNDUP((L$1)/10,0)*10,[1]Hugst!$R$4:$W$4,0))))</f>
        <v>623.49566811132399</v>
      </c>
      <c r="M234">
        <f ca="1">IF($C234-M$1&lt;År1,0,L233*(1-VLOOKUP($A234,[1]Hugst!$R$5:$W$9,MATCH(ROUNDUP((M$1)/10,0)*10,[1]Hugst!$R$4:$W$4,0))))</f>
        <v>624.8719921574102</v>
      </c>
      <c r="N234">
        <f ca="1">IF($C234-N$1&lt;År1,0,M233*(1-VLOOKUP($A234,[1]Hugst!$R$5:$W$9,MATCH(ROUNDUP((N$1)/10,0)*10,[1]Hugst!$R$4:$W$4,0))))</f>
        <v>626.25523240472512</v>
      </c>
      <c r="O234">
        <f ca="1">IF($C234-O$1&lt;År1,0,N233*(1-VLOOKUP($A234,[1]Hugst!$R$5:$W$9,MATCH(ROUNDUP((O$1)/10,0)*10,[1]Hugst!$R$4:$W$4,0))))</f>
        <v>627.6454236080765</v>
      </c>
      <c r="P234">
        <f ca="1">IF($C234-P$1&lt;År1,0,O233*(1-VLOOKUP($A234,[1]Hugst!$R$5:$W$9,MATCH(ROUNDUP((P$1)/10,0)*10,[1]Hugst!$R$4:$W$4,0))))</f>
        <v>627.66177547580389</v>
      </c>
      <c r="Q234">
        <f ca="1">IF($C234-Q$1&lt;År1,0,P233*(1-VLOOKUP($A234,[1]Hugst!$R$5:$W$9,MATCH(ROUNDUP((Q$1)/10,0)*10,[1]Hugst!$R$4:$W$4,0))))</f>
        <v>627.68202140785615</v>
      </c>
      <c r="R234">
        <f ca="1">IF($C234-R$1&lt;År1,0,Q233*(1-VLOOKUP($A234,[1]Hugst!$R$5:$W$9,MATCH(ROUNDUP((R$1)/10,0)*10,[1]Hugst!$R$4:$W$4,0))))</f>
        <v>627.7061639347047</v>
      </c>
      <c r="S234">
        <f ca="1">IF($C234-S$1&lt;År1,0,R233*(1-VLOOKUP($A234,[1]Hugst!$R$5:$W$9,MATCH(ROUNDUP((S$1)/10,0)*10,[1]Hugst!$R$4:$W$4,0))))</f>
        <v>627.73420561255261</v>
      </c>
      <c r="T234">
        <f ca="1">IF($C234-T$1&lt;År1,0,S233*(1-VLOOKUP($A234,[1]Hugst!$R$5:$W$9,MATCH(ROUNDUP((T$1)/10,0)*10,[1]Hugst!$R$4:$W$4,0))))</f>
        <v>627.76614902326003</v>
      </c>
      <c r="U234">
        <f ca="1">IF($C234-U$1&lt;År1,0,T233*(1-VLOOKUP($A234,[1]Hugst!$R$5:$W$9,MATCH(ROUNDUP((U$1)/10,0)*10,[1]Hugst!$R$4:$W$4,0))))</f>
        <v>627.80199677445751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9.6453608835417981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823.47306428871082</v>
      </c>
      <c r="G235">
        <f ca="1">IF($C235-G$1&lt;År1,0,F234*(1-VLOOKUP($A235,[1]Hugst!$R$5:$W$9,MATCH(ROUNDUP((G$1)/10,0)*10,[1]Hugst!$R$4:$W$4,0))))</f>
        <v>823.44236364658911</v>
      </c>
      <c r="H235">
        <f ca="1">IF($C235-H$1&lt;År1,0,G234*(1-VLOOKUP($A235,[1]Hugst!$R$5:$W$9,MATCH(ROUNDUP((H$1)/10,0)*10,[1]Hugst!$R$4:$W$4,0))))</f>
        <v>823.41227603087793</v>
      </c>
      <c r="I235">
        <f ca="1">IF($C235-I$1&lt;År1,0,H234*(1-VLOOKUP($A235,[1]Hugst!$R$5:$W$9,MATCH(ROUNDUP((I$1)/10,0)*10,[1]Hugst!$R$4:$W$4,0))))</f>
        <v>823.38280621016531</v>
      </c>
      <c r="J235">
        <f ca="1">IF($C235-J$1&lt;År1,0,I234*(1-VLOOKUP($A235,[1]Hugst!$R$5:$W$9,MATCH(ROUNDUP((J$1)/10,0)*10,[1]Hugst!$R$4:$W$4,0))))</f>
        <v>823.35395898068566</v>
      </c>
      <c r="K235">
        <f ca="1">IF($C235-K$1&lt;År1,0,J234*(1-VLOOKUP($A235,[1]Hugst!$R$5:$W$9,MATCH(ROUNDUP((K$1)/10,0)*10,[1]Hugst!$R$4:$W$4,0))))</f>
        <v>823.32573916647709</v>
      </c>
      <c r="L235">
        <f ca="1">IF($C235-L$1&lt;År1,0,K234*(1-VLOOKUP($A235,[1]Hugst!$R$5:$W$9,MATCH(ROUNDUP((L$1)/10,0)*10,[1]Hugst!$R$4:$W$4,0))))</f>
        <v>623.522618510744</v>
      </c>
      <c r="M235">
        <f ca="1">IF($C235-M$1&lt;År1,0,L234*(1-VLOOKUP($A235,[1]Hugst!$R$5:$W$9,MATCH(ROUNDUP((M$1)/10,0)*10,[1]Hugst!$R$4:$W$4,0))))</f>
        <v>623.49566811132399</v>
      </c>
      <c r="N235">
        <f ca="1">IF($C235-N$1&lt;År1,0,M234*(1-VLOOKUP($A235,[1]Hugst!$R$5:$W$9,MATCH(ROUNDUP((N$1)/10,0)*10,[1]Hugst!$R$4:$W$4,0))))</f>
        <v>624.8719921574102</v>
      </c>
      <c r="O235">
        <f ca="1">IF($C235-O$1&lt;År1,0,N234*(1-VLOOKUP($A235,[1]Hugst!$R$5:$W$9,MATCH(ROUNDUP((O$1)/10,0)*10,[1]Hugst!$R$4:$W$4,0))))</f>
        <v>626.25523240472512</v>
      </c>
      <c r="P235">
        <f ca="1">IF($C235-P$1&lt;År1,0,O234*(1-VLOOKUP($A235,[1]Hugst!$R$5:$W$9,MATCH(ROUNDUP((P$1)/10,0)*10,[1]Hugst!$R$4:$W$4,0))))</f>
        <v>626.26766536113189</v>
      </c>
      <c r="Q235">
        <f ca="1">IF($C235-Q$1&lt;År1,0,P234*(1-VLOOKUP($A235,[1]Hugst!$R$5:$W$9,MATCH(ROUNDUP((Q$1)/10,0)*10,[1]Hugst!$R$4:$W$4,0))))</f>
        <v>626.28398133451549</v>
      </c>
      <c r="R235">
        <f ca="1">IF($C235-R$1&lt;År1,0,Q234*(1-VLOOKUP($A235,[1]Hugst!$R$5:$W$9,MATCH(ROUNDUP((R$1)/10,0)*10,[1]Hugst!$R$4:$W$4,0))))</f>
        <v>626.30418282427797</v>
      </c>
      <c r="S235">
        <f ca="1">IF($C235-S$1&lt;År1,0,R234*(1-VLOOKUP($A235,[1]Hugst!$R$5:$W$9,MATCH(ROUNDUP((S$1)/10,0)*10,[1]Hugst!$R$4:$W$4,0))))</f>
        <v>626.3282723553358</v>
      </c>
      <c r="T235">
        <f ca="1">IF($C235-T$1&lt;År1,0,S234*(1-VLOOKUP($A235,[1]Hugst!$R$5:$W$9,MATCH(ROUNDUP((T$1)/10,0)*10,[1]Hugst!$R$4:$W$4,0))))</f>
        <v>626.35625247828114</v>
      </c>
      <c r="U235">
        <f ca="1">IF($C235-U$1&lt;År1,0,T234*(1-VLOOKUP($A235,[1]Hugst!$R$5:$W$9,MATCH(ROUNDUP((U$1)/10,0)*10,[1]Hugst!$R$4:$W$4,0))))</f>
        <v>626.3881257693065</v>
      </c>
      <c r="V235">
        <f ca="1">IF($C235-V$1&lt;År1,0,U234*(1-VLOOKUP($A235,[1]Hugst!$R$5:$W$9,MATCH(ROUNDUP((V$1)/10,0)*10,[1]Hugst!$R$4:$W$4,0))))</f>
        <v>626.42389483031843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10.998894747859595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823.50437321625316</v>
      </c>
      <c r="G236">
        <f ca="1">IF($C236-G$1&lt;År1,0,F235*(1-VLOOKUP($A236,[1]Hugst!$R$5:$W$9,MATCH(ROUNDUP((G$1)/10,0)*10,[1]Hugst!$R$4:$W$4,0))))</f>
        <v>823.47306428871082</v>
      </c>
      <c r="H236">
        <f ca="1">IF($C236-H$1&lt;År1,0,G235*(1-VLOOKUP($A236,[1]Hugst!$R$5:$W$9,MATCH(ROUNDUP((H$1)/10,0)*10,[1]Hugst!$R$4:$W$4,0))))</f>
        <v>823.44236364658911</v>
      </c>
      <c r="I236">
        <f ca="1">IF($C236-I$1&lt;År1,0,H235*(1-VLOOKUP($A236,[1]Hugst!$R$5:$W$9,MATCH(ROUNDUP((I$1)/10,0)*10,[1]Hugst!$R$4:$W$4,0))))</f>
        <v>823.41227603087793</v>
      </c>
      <c r="J236">
        <f ca="1">IF($C236-J$1&lt;År1,0,I235*(1-VLOOKUP($A236,[1]Hugst!$R$5:$W$9,MATCH(ROUNDUP((J$1)/10,0)*10,[1]Hugst!$R$4:$W$4,0))))</f>
        <v>823.38280621016531</v>
      </c>
      <c r="K236">
        <f ca="1">IF($C236-K$1&lt;År1,0,J235*(1-VLOOKUP($A236,[1]Hugst!$R$5:$W$9,MATCH(ROUNDUP((K$1)/10,0)*10,[1]Hugst!$R$4:$W$4,0))))</f>
        <v>823.35395898068566</v>
      </c>
      <c r="L236">
        <f ca="1">IF($C236-L$1&lt;År1,0,K235*(1-VLOOKUP($A236,[1]Hugst!$R$5:$W$9,MATCH(ROUNDUP((L$1)/10,0)*10,[1]Hugst!$R$4:$W$4,0))))</f>
        <v>823.32573916647709</v>
      </c>
      <c r="M236">
        <f ca="1">IF($C236-M$1&lt;År1,0,L235*(1-VLOOKUP($A236,[1]Hugst!$R$5:$W$9,MATCH(ROUNDUP((M$1)/10,0)*10,[1]Hugst!$R$4:$W$4,0))))</f>
        <v>623.522618510744</v>
      </c>
      <c r="N236">
        <f ca="1">IF($C236-N$1&lt;År1,0,M235*(1-VLOOKUP($A236,[1]Hugst!$R$5:$W$9,MATCH(ROUNDUP((N$1)/10,0)*10,[1]Hugst!$R$4:$W$4,0))))</f>
        <v>623.49566811132399</v>
      </c>
      <c r="O236">
        <f ca="1">IF($C236-O$1&lt;År1,0,N235*(1-VLOOKUP($A236,[1]Hugst!$R$5:$W$9,MATCH(ROUNDUP((O$1)/10,0)*10,[1]Hugst!$R$4:$W$4,0))))</f>
        <v>624.8719921574102</v>
      </c>
      <c r="P236">
        <f ca="1">IF($C236-P$1&lt;År1,0,O235*(1-VLOOKUP($A236,[1]Hugst!$R$5:$W$9,MATCH(ROUNDUP((P$1)/10,0)*10,[1]Hugst!$R$4:$W$4,0))))</f>
        <v>624.88052579700741</v>
      </c>
      <c r="Q236">
        <f ca="1">IF($C236-Q$1&lt;År1,0,P235*(1-VLOOKUP($A236,[1]Hugst!$R$5:$W$9,MATCH(ROUNDUP((Q$1)/10,0)*10,[1]Hugst!$R$4:$W$4,0))))</f>
        <v>624.89293146155865</v>
      </c>
      <c r="R236">
        <f ca="1">IF($C236-R$1&lt;År1,0,Q235*(1-VLOOKUP($A236,[1]Hugst!$R$5:$W$9,MATCH(ROUNDUP((R$1)/10,0)*10,[1]Hugst!$R$4:$W$4,0))))</f>
        <v>624.90921161939093</v>
      </c>
      <c r="S236">
        <f ca="1">IF($C236-S$1&lt;År1,0,R235*(1-VLOOKUP($A236,[1]Hugst!$R$5:$W$9,MATCH(ROUNDUP((S$1)/10,0)*10,[1]Hugst!$R$4:$W$4,0))))</f>
        <v>624.92936876441979</v>
      </c>
      <c r="T236">
        <f ca="1">IF($C236-T$1&lt;År1,0,S235*(1-VLOOKUP($A236,[1]Hugst!$R$5:$W$9,MATCH(ROUNDUP((T$1)/10,0)*10,[1]Hugst!$R$4:$W$4,0))))</f>
        <v>624.95340541601922</v>
      </c>
      <c r="U236">
        <f ca="1">IF($C236-U$1&lt;År1,0,T235*(1-VLOOKUP($A236,[1]Hugst!$R$5:$W$9,MATCH(ROUNDUP((U$1)/10,0)*10,[1]Hugst!$R$4:$W$4,0))))</f>
        <v>624.98132411918243</v>
      </c>
      <c r="V236">
        <f ca="1">IF($C236-V$1&lt;År1,0,U235*(1-VLOOKUP($A236,[1]Hugst!$R$5:$W$9,MATCH(ROUNDUP((V$1)/10,0)*10,[1]Hugst!$R$4:$W$4,0))))</f>
        <v>625.01312744444704</v>
      </c>
      <c r="W236">
        <f ca="1">IF($C236-W$1&lt;År1,0,V235*(1-VLOOKUP($A236,[1]Hugst!$R$5:$W$9,MATCH(ROUNDUP((W$1)/10,0)*10,[1]Hugst!$R$4:$W$4,0))))</f>
        <v>625.04881798800795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12.346421059244676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823.53628571554793</v>
      </c>
      <c r="G237">
        <f ca="1">IF($C237-G$1&lt;År1,0,F236*(1-VLOOKUP($A237,[1]Hugst!$R$5:$W$9,MATCH(ROUNDUP((G$1)/10,0)*10,[1]Hugst!$R$4:$W$4,0))))</f>
        <v>823.50437321625316</v>
      </c>
      <c r="H237">
        <f ca="1">IF($C237-H$1&lt;År1,0,G236*(1-VLOOKUP($A237,[1]Hugst!$R$5:$W$9,MATCH(ROUNDUP((H$1)/10,0)*10,[1]Hugst!$R$4:$W$4,0))))</f>
        <v>823.47306428871082</v>
      </c>
      <c r="I237">
        <f ca="1">IF($C237-I$1&lt;År1,0,H236*(1-VLOOKUP($A237,[1]Hugst!$R$5:$W$9,MATCH(ROUNDUP((I$1)/10,0)*10,[1]Hugst!$R$4:$W$4,0))))</f>
        <v>823.44236364658911</v>
      </c>
      <c r="J237">
        <f ca="1">IF($C237-J$1&lt;År1,0,I236*(1-VLOOKUP($A237,[1]Hugst!$R$5:$W$9,MATCH(ROUNDUP((J$1)/10,0)*10,[1]Hugst!$R$4:$W$4,0))))</f>
        <v>823.41227603087793</v>
      </c>
      <c r="K237">
        <f ca="1">IF($C237-K$1&lt;År1,0,J236*(1-VLOOKUP($A237,[1]Hugst!$R$5:$W$9,MATCH(ROUNDUP((K$1)/10,0)*10,[1]Hugst!$R$4:$W$4,0))))</f>
        <v>823.38280621016531</v>
      </c>
      <c r="L237">
        <f ca="1">IF($C237-L$1&lt;År1,0,K236*(1-VLOOKUP($A237,[1]Hugst!$R$5:$W$9,MATCH(ROUNDUP((L$1)/10,0)*10,[1]Hugst!$R$4:$W$4,0))))</f>
        <v>823.35395898068566</v>
      </c>
      <c r="M237">
        <f ca="1">IF($C237-M$1&lt;År1,0,L236*(1-VLOOKUP($A237,[1]Hugst!$R$5:$W$9,MATCH(ROUNDUP((M$1)/10,0)*10,[1]Hugst!$R$4:$W$4,0))))</f>
        <v>823.32573916647709</v>
      </c>
      <c r="N237">
        <f ca="1">IF($C237-N$1&lt;År1,0,M236*(1-VLOOKUP($A237,[1]Hugst!$R$5:$W$9,MATCH(ROUNDUP((N$1)/10,0)*10,[1]Hugst!$R$4:$W$4,0))))</f>
        <v>623.522618510744</v>
      </c>
      <c r="O237">
        <f ca="1">IF($C237-O$1&lt;År1,0,N236*(1-VLOOKUP($A237,[1]Hugst!$R$5:$W$9,MATCH(ROUNDUP((O$1)/10,0)*10,[1]Hugst!$R$4:$W$4,0))))</f>
        <v>623.49566811132399</v>
      </c>
      <c r="P237">
        <f ca="1">IF($C237-P$1&lt;År1,0,O236*(1-VLOOKUP($A237,[1]Hugst!$R$5:$W$9,MATCH(ROUNDUP((P$1)/10,0)*10,[1]Hugst!$R$4:$W$4,0))))</f>
        <v>623.5003219307232</v>
      </c>
      <c r="Q237">
        <f ca="1">IF($C237-Q$1&lt;År1,0,P236*(1-VLOOKUP($A237,[1]Hugst!$R$5:$W$9,MATCH(ROUNDUP((Q$1)/10,0)*10,[1]Hugst!$R$4:$W$4,0))))</f>
        <v>623.50883683794086</v>
      </c>
      <c r="R237">
        <f ca="1">IF($C237-R$1&lt;År1,0,Q236*(1-VLOOKUP($A237,[1]Hugst!$R$5:$W$9,MATCH(ROUNDUP((R$1)/10,0)*10,[1]Hugst!$R$4:$W$4,0))))</f>
        <v>623.52121527054544</v>
      </c>
      <c r="S237">
        <f ca="1">IF($C237-S$1&lt;År1,0,R236*(1-VLOOKUP($A237,[1]Hugst!$R$5:$W$9,MATCH(ROUNDUP((S$1)/10,0)*10,[1]Hugst!$R$4:$W$4,0))))</f>
        <v>623.53745969144597</v>
      </c>
      <c r="T237">
        <f ca="1">IF($C237-T$1&lt;År1,0,S236*(1-VLOOKUP($A237,[1]Hugst!$R$5:$W$9,MATCH(ROUNDUP((T$1)/10,0)*10,[1]Hugst!$R$4:$W$4,0))))</f>
        <v>623.55757258908329</v>
      </c>
      <c r="U237">
        <f ca="1">IF($C237-U$1&lt;År1,0,T236*(1-VLOOKUP($A237,[1]Hugst!$R$5:$W$9,MATCH(ROUNDUP((U$1)/10,0)*10,[1]Hugst!$R$4:$W$4,0))))</f>
        <v>623.58155647730109</v>
      </c>
      <c r="V237">
        <f ca="1">IF($C237-V$1&lt;År1,0,U236*(1-VLOOKUP($A237,[1]Hugst!$R$5:$W$9,MATCH(ROUNDUP((V$1)/10,0)*10,[1]Hugst!$R$4:$W$4,0))))</f>
        <v>623.60941389550612</v>
      </c>
      <c r="W237">
        <f ca="1">IF($C237-W$1&lt;År1,0,V236*(1-VLOOKUP($A237,[1]Hugst!$R$5:$W$9,MATCH(ROUNDUP((W$1)/10,0)*10,[1]Hugst!$R$4:$W$4,0))))</f>
        <v>623.64114740859338</v>
      </c>
      <c r="X237">
        <f ca="1">IF($C237-X$1&lt;År1,0,W236*(1-VLOOKUP($A237,[1]Hugst!$R$5:$W$9,MATCH(ROUNDUP((X$1)/10,0)*10,[1]Hugst!$R$4:$W$4,0))))</f>
        <v>623.67675960705867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13.687968186919534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823.56879710017904</v>
      </c>
      <c r="G238">
        <f ca="1">IF($C238-G$1&lt;År1,0,F237*(1-VLOOKUP($A238,[1]Hugst!$R$5:$W$9,MATCH(ROUNDUP((G$1)/10,0)*10,[1]Hugst!$R$4:$W$4,0))))</f>
        <v>823.53628571554793</v>
      </c>
      <c r="H238">
        <f ca="1">IF($C238-H$1&lt;År1,0,G237*(1-VLOOKUP($A238,[1]Hugst!$R$5:$W$9,MATCH(ROUNDUP((H$1)/10,0)*10,[1]Hugst!$R$4:$W$4,0))))</f>
        <v>823.50437321625316</v>
      </c>
      <c r="I238">
        <f ca="1">IF($C238-I$1&lt;År1,0,H237*(1-VLOOKUP($A238,[1]Hugst!$R$5:$W$9,MATCH(ROUNDUP((I$1)/10,0)*10,[1]Hugst!$R$4:$W$4,0))))</f>
        <v>823.47306428871082</v>
      </c>
      <c r="J238">
        <f ca="1">IF($C238-J$1&lt;År1,0,I237*(1-VLOOKUP($A238,[1]Hugst!$R$5:$W$9,MATCH(ROUNDUP((J$1)/10,0)*10,[1]Hugst!$R$4:$W$4,0))))</f>
        <v>823.44236364658911</v>
      </c>
      <c r="K238">
        <f ca="1">IF($C238-K$1&lt;År1,0,J237*(1-VLOOKUP($A238,[1]Hugst!$R$5:$W$9,MATCH(ROUNDUP((K$1)/10,0)*10,[1]Hugst!$R$4:$W$4,0))))</f>
        <v>823.41227603087793</v>
      </c>
      <c r="L238">
        <f ca="1">IF($C238-L$1&lt;År1,0,K237*(1-VLOOKUP($A238,[1]Hugst!$R$5:$W$9,MATCH(ROUNDUP((L$1)/10,0)*10,[1]Hugst!$R$4:$W$4,0))))</f>
        <v>823.38280621016531</v>
      </c>
      <c r="M238">
        <f ca="1">IF($C238-M$1&lt;År1,0,L237*(1-VLOOKUP($A238,[1]Hugst!$R$5:$W$9,MATCH(ROUNDUP((M$1)/10,0)*10,[1]Hugst!$R$4:$W$4,0))))</f>
        <v>823.35395898068566</v>
      </c>
      <c r="N238">
        <f ca="1">IF($C238-N$1&lt;År1,0,M237*(1-VLOOKUP($A238,[1]Hugst!$R$5:$W$9,MATCH(ROUNDUP((N$1)/10,0)*10,[1]Hugst!$R$4:$W$4,0))))</f>
        <v>823.32573916647709</v>
      </c>
      <c r="O238">
        <f ca="1">IF($C238-O$1&lt;År1,0,N237*(1-VLOOKUP($A238,[1]Hugst!$R$5:$W$9,MATCH(ROUNDUP((O$1)/10,0)*10,[1]Hugst!$R$4:$W$4,0))))</f>
        <v>623.522618510744</v>
      </c>
      <c r="P238">
        <f ca="1">IF($C238-P$1&lt;År1,0,O237*(1-VLOOKUP($A238,[1]Hugst!$R$5:$W$9,MATCH(ROUNDUP((P$1)/10,0)*10,[1]Hugst!$R$4:$W$4,0))))</f>
        <v>622.12701908376255</v>
      </c>
      <c r="Q238">
        <f ca="1">IF($C238-Q$1&lt;År1,0,P237*(1-VLOOKUP($A238,[1]Hugst!$R$5:$W$9,MATCH(ROUNDUP((Q$1)/10,0)*10,[1]Hugst!$R$4:$W$4,0))))</f>
        <v>622.13166268746068</v>
      </c>
      <c r="R238">
        <f ca="1">IF($C238-R$1&lt;År1,0,Q237*(1-VLOOKUP($A238,[1]Hugst!$R$5:$W$9,MATCH(ROUNDUP((R$1)/10,0)*10,[1]Hugst!$R$4:$W$4,0))))</f>
        <v>622.14015890341852</v>
      </c>
      <c r="S238">
        <f ca="1">IF($C238-S$1&lt;År1,0,R237*(1-VLOOKUP($A238,[1]Hugst!$R$5:$W$9,MATCH(ROUNDUP((S$1)/10,0)*10,[1]Hugst!$R$4:$W$4,0))))</f>
        <v>622.152510163854</v>
      </c>
      <c r="T238">
        <f ca="1">IF($C238-T$1&lt;År1,0,S237*(1-VLOOKUP($A238,[1]Hugst!$R$5:$W$9,MATCH(ROUNDUP((T$1)/10,0)*10,[1]Hugst!$R$4:$W$4,0))))</f>
        <v>622.16871892626966</v>
      </c>
      <c r="U238">
        <f ca="1">IF($C238-U$1&lt;År1,0,T237*(1-VLOOKUP($A238,[1]Hugst!$R$5:$W$9,MATCH(ROUNDUP((U$1)/10,0)*10,[1]Hugst!$R$4:$W$4,0))))</f>
        <v>622.18878767364379</v>
      </c>
      <c r="V238">
        <f ca="1">IF($C238-V$1&lt;År1,0,U237*(1-VLOOKUP($A238,[1]Hugst!$R$5:$W$9,MATCH(ROUNDUP((V$1)/10,0)*10,[1]Hugst!$R$4:$W$4,0))))</f>
        <v>622.21271891430217</v>
      </c>
      <c r="W238">
        <f ca="1">IF($C238-W$1&lt;År1,0,V237*(1-VLOOKUP($A238,[1]Hugst!$R$5:$W$9,MATCH(ROUNDUP((W$1)/10,0)*10,[1]Hugst!$R$4:$W$4,0))))</f>
        <v>622.24051518207693</v>
      </c>
      <c r="X238">
        <f ca="1">IF($C238-X$1&lt;År1,0,W237*(1-VLOOKUP($A238,[1]Hugst!$R$5:$W$9,MATCH(ROUNDUP((X$1)/10,0)*10,[1]Hugst!$R$4:$W$4,0))))</f>
        <v>622.27217903623307</v>
      </c>
      <c r="Y238">
        <f ca="1">IF($C238-Y$1&lt;År1,0,X237*(1-VLOOKUP($A238,[1]Hugst!$R$5:$W$9,MATCH(ROUNDUP((Y$1)/10,0)*10,[1]Hugst!$R$4:$W$4,0))))</f>
        <v>622.30771306157976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14.41950013830683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822.9978384872494</v>
      </c>
      <c r="G239">
        <f ca="1">IF($C239-G$1&lt;År1,0,F238*(1-VLOOKUP($A239,[1]Hugst!$R$5:$W$9,MATCH(ROUNDUP((G$1)/10,0)*10,[1]Hugst!$R$4:$W$4,0))))</f>
        <v>823.56879710017904</v>
      </c>
      <c r="H239">
        <f ca="1">IF($C239-H$1&lt;År1,0,G238*(1-VLOOKUP($A239,[1]Hugst!$R$5:$W$9,MATCH(ROUNDUP((H$1)/10,0)*10,[1]Hugst!$R$4:$W$4,0))))</f>
        <v>823.53628571554793</v>
      </c>
      <c r="I239">
        <f ca="1">IF($C239-I$1&lt;År1,0,H238*(1-VLOOKUP($A239,[1]Hugst!$R$5:$W$9,MATCH(ROUNDUP((I$1)/10,0)*10,[1]Hugst!$R$4:$W$4,0))))</f>
        <v>823.50437321625316</v>
      </c>
      <c r="J239">
        <f ca="1">IF($C239-J$1&lt;År1,0,I238*(1-VLOOKUP($A239,[1]Hugst!$R$5:$W$9,MATCH(ROUNDUP((J$1)/10,0)*10,[1]Hugst!$R$4:$W$4,0))))</f>
        <v>823.47306428871082</v>
      </c>
      <c r="K239">
        <f ca="1">IF($C239-K$1&lt;År1,0,J238*(1-VLOOKUP($A239,[1]Hugst!$R$5:$W$9,MATCH(ROUNDUP((K$1)/10,0)*10,[1]Hugst!$R$4:$W$4,0))))</f>
        <v>823.44236364658911</v>
      </c>
      <c r="L239">
        <f ca="1">IF($C239-L$1&lt;År1,0,K238*(1-VLOOKUP($A239,[1]Hugst!$R$5:$W$9,MATCH(ROUNDUP((L$1)/10,0)*10,[1]Hugst!$R$4:$W$4,0))))</f>
        <v>823.41227603087793</v>
      </c>
      <c r="M239">
        <f ca="1">IF($C239-M$1&lt;År1,0,L238*(1-VLOOKUP($A239,[1]Hugst!$R$5:$W$9,MATCH(ROUNDUP((M$1)/10,0)*10,[1]Hugst!$R$4:$W$4,0))))</f>
        <v>823.38280621016531</v>
      </c>
      <c r="N239">
        <f ca="1">IF($C239-N$1&lt;År1,0,M238*(1-VLOOKUP($A239,[1]Hugst!$R$5:$W$9,MATCH(ROUNDUP((N$1)/10,0)*10,[1]Hugst!$R$4:$W$4,0))))</f>
        <v>823.35395898068566</v>
      </c>
      <c r="O239">
        <f ca="1">IF($C239-O$1&lt;År1,0,N238*(1-VLOOKUP($A239,[1]Hugst!$R$5:$W$9,MATCH(ROUNDUP((O$1)/10,0)*10,[1]Hugst!$R$4:$W$4,0))))</f>
        <v>823.32573916647709</v>
      </c>
      <c r="P239">
        <f ca="1">IF($C239-P$1&lt;År1,0,O238*(1-VLOOKUP($A239,[1]Hugst!$R$5:$W$9,MATCH(ROUNDUP((P$1)/10,0)*10,[1]Hugst!$R$4:$W$4,0))))</f>
        <v>622.1539103237692</v>
      </c>
      <c r="Q239">
        <f ca="1">IF($C239-Q$1&lt;År1,0,P238*(1-VLOOKUP($A239,[1]Hugst!$R$5:$W$9,MATCH(ROUNDUP((Q$1)/10,0)*10,[1]Hugst!$R$4:$W$4,0))))</f>
        <v>620.76137440772504</v>
      </c>
      <c r="R239">
        <f ca="1">IF($C239-R$1&lt;År1,0,Q238*(1-VLOOKUP($A239,[1]Hugst!$R$5:$W$9,MATCH(ROUNDUP((R$1)/10,0)*10,[1]Hugst!$R$4:$W$4,0))))</f>
        <v>620.7660078181467</v>
      </c>
      <c r="S239">
        <f ca="1">IF($C239-S$1&lt;År1,0,R238*(1-VLOOKUP($A239,[1]Hugst!$R$5:$W$9,MATCH(ROUNDUP((S$1)/10,0)*10,[1]Hugst!$R$4:$W$4,0))))</f>
        <v>620.77448538387443</v>
      </c>
      <c r="T239">
        <f ca="1">IF($C239-T$1&lt;År1,0,S238*(1-VLOOKUP($A239,[1]Hugst!$R$5:$W$9,MATCH(ROUNDUP((T$1)/10,0)*10,[1]Hugst!$R$4:$W$4,0))))</f>
        <v>620.78680953178696</v>
      </c>
      <c r="U239">
        <f ca="1">IF($C239-U$1&lt;År1,0,T238*(1-VLOOKUP($A239,[1]Hugst!$R$5:$W$9,MATCH(ROUNDUP((U$1)/10,0)*10,[1]Hugst!$R$4:$W$4,0))))</f>
        <v>620.80298271399249</v>
      </c>
      <c r="V239">
        <f ca="1">IF($C239-V$1&lt;År1,0,U238*(1-VLOOKUP($A239,[1]Hugst!$R$5:$W$9,MATCH(ROUNDUP((V$1)/10,0)*10,[1]Hugst!$R$4:$W$4,0))))</f>
        <v>620.82300740801873</v>
      </c>
      <c r="W239">
        <f ca="1">IF($C239-W$1&lt;År1,0,V238*(1-VLOOKUP($A239,[1]Hugst!$R$5:$W$9,MATCH(ROUNDUP((W$1)/10,0)*10,[1]Hugst!$R$4:$W$4,0))))</f>
        <v>620.84688611668537</v>
      </c>
      <c r="X239">
        <f ca="1">IF($C239-X$1&lt;År1,0,W238*(1-VLOOKUP($A239,[1]Hugst!$R$5:$W$9,MATCH(ROUNDUP((X$1)/10,0)*10,[1]Hugst!$R$4:$W$4,0))))</f>
        <v>620.87462136826264</v>
      </c>
      <c r="Y239">
        <f ca="1">IF($C239-Y$1&lt;År1,0,X238*(1-VLOOKUP($A239,[1]Hugst!$R$5:$W$9,MATCH(ROUNDUP((Y$1)/10,0)*10,[1]Hugst!$R$4:$W$4,0))))</f>
        <v>620.90621571639747</v>
      </c>
      <c r="Z239">
        <f ca="1">IF($C239-Z$1&lt;År1,0,Y238*(1-VLOOKUP($A239,[1]Hugst!$R$5:$W$9,MATCH(ROUNDUP((Z$1)/10,0)*10,[1]Hugst!$R$4:$W$4,0))))</f>
        <v>621.54880121638269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15.590126220196908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822.87248645764532</v>
      </c>
      <c r="G240">
        <f ca="1">IF($C240-G$1&lt;År1,0,F239*(1-VLOOKUP($A240,[1]Hugst!$R$5:$W$9,MATCH(ROUNDUP((G$1)/10,0)*10,[1]Hugst!$R$4:$W$4,0))))</f>
        <v>822.9978384872494</v>
      </c>
      <c r="H240">
        <f ca="1">IF($C240-H$1&lt;År1,0,G239*(1-VLOOKUP($A240,[1]Hugst!$R$5:$W$9,MATCH(ROUNDUP((H$1)/10,0)*10,[1]Hugst!$R$4:$W$4,0))))</f>
        <v>823.56879710017904</v>
      </c>
      <c r="I240">
        <f ca="1">IF($C240-I$1&lt;År1,0,H239*(1-VLOOKUP($A240,[1]Hugst!$R$5:$W$9,MATCH(ROUNDUP((I$1)/10,0)*10,[1]Hugst!$R$4:$W$4,0))))</f>
        <v>823.53628571554793</v>
      </c>
      <c r="J240">
        <f ca="1">IF($C240-J$1&lt;År1,0,I239*(1-VLOOKUP($A240,[1]Hugst!$R$5:$W$9,MATCH(ROUNDUP((J$1)/10,0)*10,[1]Hugst!$R$4:$W$4,0))))</f>
        <v>823.50437321625316</v>
      </c>
      <c r="K240">
        <f ca="1">IF($C240-K$1&lt;År1,0,J239*(1-VLOOKUP($A240,[1]Hugst!$R$5:$W$9,MATCH(ROUNDUP((K$1)/10,0)*10,[1]Hugst!$R$4:$W$4,0))))</f>
        <v>823.47306428871082</v>
      </c>
      <c r="L240">
        <f ca="1">IF($C240-L$1&lt;År1,0,K239*(1-VLOOKUP($A240,[1]Hugst!$R$5:$W$9,MATCH(ROUNDUP((L$1)/10,0)*10,[1]Hugst!$R$4:$W$4,0))))</f>
        <v>823.44236364658911</v>
      </c>
      <c r="M240">
        <f ca="1">IF($C240-M$1&lt;År1,0,L239*(1-VLOOKUP($A240,[1]Hugst!$R$5:$W$9,MATCH(ROUNDUP((M$1)/10,0)*10,[1]Hugst!$R$4:$W$4,0))))</f>
        <v>823.41227603087793</v>
      </c>
      <c r="N240">
        <f ca="1">IF($C240-N$1&lt;År1,0,M239*(1-VLOOKUP($A240,[1]Hugst!$R$5:$W$9,MATCH(ROUNDUP((N$1)/10,0)*10,[1]Hugst!$R$4:$W$4,0))))</f>
        <v>823.38280621016531</v>
      </c>
      <c r="O240">
        <f ca="1">IF($C240-O$1&lt;År1,0,N239*(1-VLOOKUP($A240,[1]Hugst!$R$5:$W$9,MATCH(ROUNDUP((O$1)/10,0)*10,[1]Hugst!$R$4:$W$4,0))))</f>
        <v>823.35395898068566</v>
      </c>
      <c r="P240">
        <f ca="1">IF($C240-P$1&lt;År1,0,O239*(1-VLOOKUP($A240,[1]Hugst!$R$5:$W$9,MATCH(ROUNDUP((P$1)/10,0)*10,[1]Hugst!$R$4:$W$4,0))))</f>
        <v>821.51843876342878</v>
      </c>
      <c r="Q240">
        <f ca="1">IF($C240-Q$1&lt;År1,0,P239*(1-VLOOKUP($A240,[1]Hugst!$R$5:$W$9,MATCH(ROUNDUP((Q$1)/10,0)*10,[1]Hugst!$R$4:$W$4,0))))</f>
        <v>620.78820661818042</v>
      </c>
      <c r="R240">
        <f ca="1">IF($C240-R$1&lt;År1,0,Q239*(1-VLOOKUP($A240,[1]Hugst!$R$5:$W$9,MATCH(ROUNDUP((R$1)/10,0)*10,[1]Hugst!$R$4:$W$4,0))))</f>
        <v>619.3987274882935</v>
      </c>
      <c r="S240">
        <f ca="1">IF($C240-S$1&lt;År1,0,R239*(1-VLOOKUP($A240,[1]Hugst!$R$5:$W$9,MATCH(ROUNDUP((S$1)/10,0)*10,[1]Hugst!$R$4:$W$4,0))))</f>
        <v>619.4033507278142</v>
      </c>
      <c r="T240">
        <f ca="1">IF($C240-T$1&lt;År1,0,S239*(1-VLOOKUP($A240,[1]Hugst!$R$5:$W$9,MATCH(ROUNDUP((T$1)/10,0)*10,[1]Hugst!$R$4:$W$4,0))))</f>
        <v>619.41180968425124</v>
      </c>
      <c r="U240">
        <f ca="1">IF($C240-U$1&lt;År1,0,T239*(1-VLOOKUP($A240,[1]Hugst!$R$5:$W$9,MATCH(ROUNDUP((U$1)/10,0)*10,[1]Hugst!$R$4:$W$4,0))))</f>
        <v>619.4241067791562</v>
      </c>
      <c r="V240">
        <f ca="1">IF($C240-V$1&lt;År1,0,U239*(1-VLOOKUP($A240,[1]Hugst!$R$5:$W$9,MATCH(ROUNDUP((V$1)/10,0)*10,[1]Hugst!$R$4:$W$4,0))))</f>
        <v>619.44024445925447</v>
      </c>
      <c r="W240">
        <f ca="1">IF($C240-W$1&lt;År1,0,V239*(1-VLOOKUP($A240,[1]Hugst!$R$5:$W$9,MATCH(ROUNDUP((W$1)/10,0)*10,[1]Hugst!$R$4:$W$4,0))))</f>
        <v>619.46022519663529</v>
      </c>
      <c r="X240">
        <f ca="1">IF($C240-X$1&lt;År1,0,W239*(1-VLOOKUP($A240,[1]Hugst!$R$5:$W$9,MATCH(ROUNDUP((X$1)/10,0)*10,[1]Hugst!$R$4:$W$4,0))))</f>
        <v>619.48405148862435</v>
      </c>
      <c r="Y240">
        <f ca="1">IF($C240-Y$1&lt;År1,0,X239*(1-VLOOKUP($A240,[1]Hugst!$R$5:$W$9,MATCH(ROUNDUP((Y$1)/10,0)*10,[1]Hugst!$R$4:$W$4,0))))</f>
        <v>619.51172585794211</v>
      </c>
      <c r="Z240">
        <f ca="1">IF($C240-Z$1&lt;År1,0,Y239*(1-VLOOKUP($A240,[1]Hugst!$R$5:$W$9,MATCH(ROUNDUP((Z$1)/10,0)*10,[1]Hugst!$R$4:$W$4,0))))</f>
        <v>620.14901301430427</v>
      </c>
      <c r="AA240">
        <f ca="1">IF($C240-AA$1&lt;År1,0,Z239*(1-VLOOKUP($A240,[1]Hugst!$R$5:$W$9,MATCH(ROUNDUP((AA$1)/10,0)*10,[1]Hugst!$R$4:$W$4,0))))</f>
        <v>620.79081487343592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16.760342890345783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822.75320490685147</v>
      </c>
      <c r="G241">
        <f ca="1">IF($C241-G$1&lt;År1,0,F240*(1-VLOOKUP($A241,[1]Hugst!$R$5:$W$9,MATCH(ROUNDUP((G$1)/10,0)*10,[1]Hugst!$R$4:$W$4,0))))</f>
        <v>822.87248645764532</v>
      </c>
      <c r="H241">
        <f ca="1">IF($C241-H$1&lt;År1,0,G240*(1-VLOOKUP($A241,[1]Hugst!$R$5:$W$9,MATCH(ROUNDUP((H$1)/10,0)*10,[1]Hugst!$R$4:$W$4,0))))</f>
        <v>822.9978384872494</v>
      </c>
      <c r="I241">
        <f ca="1">IF($C241-I$1&lt;År1,0,H240*(1-VLOOKUP($A241,[1]Hugst!$R$5:$W$9,MATCH(ROUNDUP((I$1)/10,0)*10,[1]Hugst!$R$4:$W$4,0))))</f>
        <v>823.56879710017904</v>
      </c>
      <c r="J241">
        <f ca="1">IF($C241-J$1&lt;År1,0,I240*(1-VLOOKUP($A241,[1]Hugst!$R$5:$W$9,MATCH(ROUNDUP((J$1)/10,0)*10,[1]Hugst!$R$4:$W$4,0))))</f>
        <v>823.53628571554793</v>
      </c>
      <c r="K241">
        <f ca="1">IF($C241-K$1&lt;År1,0,J240*(1-VLOOKUP($A241,[1]Hugst!$R$5:$W$9,MATCH(ROUNDUP((K$1)/10,0)*10,[1]Hugst!$R$4:$W$4,0))))</f>
        <v>823.50437321625316</v>
      </c>
      <c r="L241">
        <f ca="1">IF($C241-L$1&lt;År1,0,K240*(1-VLOOKUP($A241,[1]Hugst!$R$5:$W$9,MATCH(ROUNDUP((L$1)/10,0)*10,[1]Hugst!$R$4:$W$4,0))))</f>
        <v>823.47306428871082</v>
      </c>
      <c r="M241">
        <f ca="1">IF($C241-M$1&lt;År1,0,L240*(1-VLOOKUP($A241,[1]Hugst!$R$5:$W$9,MATCH(ROUNDUP((M$1)/10,0)*10,[1]Hugst!$R$4:$W$4,0))))</f>
        <v>823.44236364658911</v>
      </c>
      <c r="N241">
        <f ca="1">IF($C241-N$1&lt;År1,0,M240*(1-VLOOKUP($A241,[1]Hugst!$R$5:$W$9,MATCH(ROUNDUP((N$1)/10,0)*10,[1]Hugst!$R$4:$W$4,0))))</f>
        <v>823.41227603087793</v>
      </c>
      <c r="O241">
        <f ca="1">IF($C241-O$1&lt;År1,0,N240*(1-VLOOKUP($A241,[1]Hugst!$R$5:$W$9,MATCH(ROUNDUP((O$1)/10,0)*10,[1]Hugst!$R$4:$W$4,0))))</f>
        <v>823.38280621016531</v>
      </c>
      <c r="P241">
        <f ca="1">IF($C241-P$1&lt;År1,0,O240*(1-VLOOKUP($A241,[1]Hugst!$R$5:$W$9,MATCH(ROUNDUP((P$1)/10,0)*10,[1]Hugst!$R$4:$W$4,0))))</f>
        <v>821.54659663170366</v>
      </c>
      <c r="Q241">
        <f ca="1">IF($C241-Q$1&lt;År1,0,P240*(1-VLOOKUP($A241,[1]Hugst!$R$5:$W$9,MATCH(ROUNDUP((Q$1)/10,0)*10,[1]Hugst!$R$4:$W$4,0))))</f>
        <v>819.71510560516754</v>
      </c>
      <c r="R241">
        <f ca="1">IF($C241-R$1&lt;År1,0,Q240*(1-VLOOKUP($A241,[1]Hugst!$R$5:$W$9,MATCH(ROUNDUP((R$1)/10,0)*10,[1]Hugst!$R$4:$W$4,0))))</f>
        <v>619.42550079877469</v>
      </c>
      <c r="S241">
        <f ca="1">IF($C241-S$1&lt;År1,0,R240*(1-VLOOKUP($A241,[1]Hugst!$R$5:$W$9,MATCH(ROUNDUP((S$1)/10,0)*10,[1]Hugst!$R$4:$W$4,0))))</f>
        <v>618.03907174502649</v>
      </c>
      <c r="T241">
        <f ca="1">IF($C241-T$1&lt;År1,0,S240*(1-VLOOKUP($A241,[1]Hugst!$R$5:$W$9,MATCH(ROUNDUP((T$1)/10,0)*10,[1]Hugst!$R$4:$W$4,0))))</f>
        <v>618.04368483597261</v>
      </c>
      <c r="U241">
        <f ca="1">IF($C241-U$1&lt;År1,0,T240*(1-VLOOKUP($A241,[1]Hugst!$R$5:$W$9,MATCH(ROUNDUP((U$1)/10,0)*10,[1]Hugst!$R$4:$W$4,0))))</f>
        <v>618.05212522396869</v>
      </c>
      <c r="V241">
        <f ca="1">IF($C241-V$1&lt;År1,0,U240*(1-VLOOKUP($A241,[1]Hugst!$R$5:$W$9,MATCH(ROUNDUP((V$1)/10,0)*10,[1]Hugst!$R$4:$W$4,0))))</f>
        <v>618.06439532525076</v>
      </c>
      <c r="W241">
        <f ca="1">IF($C241-W$1&lt;År1,0,V240*(1-VLOOKUP($A241,[1]Hugst!$R$5:$W$9,MATCH(ROUNDUP((W$1)/10,0)*10,[1]Hugst!$R$4:$W$4,0))))</f>
        <v>618.08049758117318</v>
      </c>
      <c r="X241">
        <f ca="1">IF($C241-X$1&lt;År1,0,W240*(1-VLOOKUP($A241,[1]Hugst!$R$5:$W$9,MATCH(ROUNDUP((X$1)/10,0)*10,[1]Hugst!$R$4:$W$4,0))))</f>
        <v>618.10043445839881</v>
      </c>
      <c r="Y241">
        <f ca="1">IF($C241-Y$1&lt;År1,0,X240*(1-VLOOKUP($A241,[1]Hugst!$R$5:$W$9,MATCH(ROUNDUP((Y$1)/10,0)*10,[1]Hugst!$R$4:$W$4,0))))</f>
        <v>618.12420844877124</v>
      </c>
      <c r="Z241">
        <f ca="1">IF($C241-Z$1&lt;År1,0,Y240*(1-VLOOKUP($A241,[1]Hugst!$R$5:$W$9,MATCH(ROUNDUP((Z$1)/10,0)*10,[1]Hugst!$R$4:$W$4,0))))</f>
        <v>618.75622375323735</v>
      </c>
      <c r="AA241">
        <f ca="1">IF($C241-AA$1&lt;År1,0,Z240*(1-VLOOKUP($A241,[1]Hugst!$R$5:$W$9,MATCH(ROUNDUP((AA$1)/10,0)*10,[1]Hugst!$R$4:$W$4,0))))</f>
        <v>619.39273373014044</v>
      </c>
      <c r="AB241">
        <f ca="1">IF($C241-AB$1&lt;År1,0,AA240*(1-VLOOKUP($A241,[1]Hugst!$R$5:$W$9,MATCH(ROUNDUP((AB$1)/10,0)*10,[1]Hugst!$R$4:$W$4,0))))</f>
        <v>620.03375290407803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17.930143063396827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822.63995435006939</v>
      </c>
      <c r="G242">
        <f ca="1">IF($C242-G$1&lt;År1,0,F241*(1-VLOOKUP($A242,[1]Hugst!$R$5:$W$9,MATCH(ROUNDUP((G$1)/10,0)*10,[1]Hugst!$R$4:$W$4,0))))</f>
        <v>822.75320490685147</v>
      </c>
      <c r="H242">
        <f ca="1">IF($C242-H$1&lt;År1,0,G241*(1-VLOOKUP($A242,[1]Hugst!$R$5:$W$9,MATCH(ROUNDUP((H$1)/10,0)*10,[1]Hugst!$R$4:$W$4,0))))</f>
        <v>822.87248645764532</v>
      </c>
      <c r="I242">
        <f ca="1">IF($C242-I$1&lt;År1,0,H241*(1-VLOOKUP($A242,[1]Hugst!$R$5:$W$9,MATCH(ROUNDUP((I$1)/10,0)*10,[1]Hugst!$R$4:$W$4,0))))</f>
        <v>822.9978384872494</v>
      </c>
      <c r="J242">
        <f ca="1">IF($C242-J$1&lt;År1,0,I241*(1-VLOOKUP($A242,[1]Hugst!$R$5:$W$9,MATCH(ROUNDUP((J$1)/10,0)*10,[1]Hugst!$R$4:$W$4,0))))</f>
        <v>823.56879710017904</v>
      </c>
      <c r="K242">
        <f ca="1">IF($C242-K$1&lt;År1,0,J241*(1-VLOOKUP($A242,[1]Hugst!$R$5:$W$9,MATCH(ROUNDUP((K$1)/10,0)*10,[1]Hugst!$R$4:$W$4,0))))</f>
        <v>823.53628571554793</v>
      </c>
      <c r="L242">
        <f ca="1">IF($C242-L$1&lt;År1,0,K241*(1-VLOOKUP($A242,[1]Hugst!$R$5:$W$9,MATCH(ROUNDUP((L$1)/10,0)*10,[1]Hugst!$R$4:$W$4,0))))</f>
        <v>823.50437321625316</v>
      </c>
      <c r="M242">
        <f ca="1">IF($C242-M$1&lt;År1,0,L241*(1-VLOOKUP($A242,[1]Hugst!$R$5:$W$9,MATCH(ROUNDUP((M$1)/10,0)*10,[1]Hugst!$R$4:$W$4,0))))</f>
        <v>823.47306428871082</v>
      </c>
      <c r="N242">
        <f ca="1">IF($C242-N$1&lt;År1,0,M241*(1-VLOOKUP($A242,[1]Hugst!$R$5:$W$9,MATCH(ROUNDUP((N$1)/10,0)*10,[1]Hugst!$R$4:$W$4,0))))</f>
        <v>823.44236364658911</v>
      </c>
      <c r="O242">
        <f ca="1">IF($C242-O$1&lt;År1,0,N241*(1-VLOOKUP($A242,[1]Hugst!$R$5:$W$9,MATCH(ROUNDUP((O$1)/10,0)*10,[1]Hugst!$R$4:$W$4,0))))</f>
        <v>823.41227603087793</v>
      </c>
      <c r="P242">
        <f ca="1">IF($C242-P$1&lt;År1,0,O241*(1-VLOOKUP($A242,[1]Hugst!$R$5:$W$9,MATCH(ROUNDUP((P$1)/10,0)*10,[1]Hugst!$R$4:$W$4,0))))</f>
        <v>821.57538053799669</v>
      </c>
      <c r="Q242">
        <f ca="1">IF($C242-Q$1&lt;År1,0,P241*(1-VLOOKUP($A242,[1]Hugst!$R$5:$W$9,MATCH(ROUNDUP((Q$1)/10,0)*10,[1]Hugst!$R$4:$W$4,0))))</f>
        <v>819.74320166348775</v>
      </c>
      <c r="R242">
        <f ca="1">IF($C242-R$1&lt;År1,0,Q241*(1-VLOOKUP($A242,[1]Hugst!$R$5:$W$9,MATCH(ROUNDUP((R$1)/10,0)*10,[1]Hugst!$R$4:$W$4,0))))</f>
        <v>817.91573098310744</v>
      </c>
      <c r="S242">
        <f ca="1">IF($C242-S$1&lt;År1,0,R241*(1-VLOOKUP($A242,[1]Hugst!$R$5:$W$9,MATCH(ROUNDUP((S$1)/10,0)*10,[1]Hugst!$R$4:$W$4,0))))</f>
        <v>618.06578628482612</v>
      </c>
      <c r="T242">
        <f ca="1">IF($C242-T$1&lt;År1,0,S241*(1-VLOOKUP($A242,[1]Hugst!$R$5:$W$9,MATCH(ROUNDUP((T$1)/10,0)*10,[1]Hugst!$R$4:$W$4,0))))</f>
        <v>616.68240061192762</v>
      </c>
      <c r="U242">
        <f ca="1">IF($C242-U$1&lt;År1,0,T241*(1-VLOOKUP($A242,[1]Hugst!$R$5:$W$9,MATCH(ROUNDUP((U$1)/10,0)*10,[1]Hugst!$R$4:$W$4,0))))</f>
        <v>616.68700357657656</v>
      </c>
      <c r="V242">
        <f ca="1">IF($C242-V$1&lt;År1,0,U241*(1-VLOOKUP($A242,[1]Hugst!$R$5:$W$9,MATCH(ROUNDUP((V$1)/10,0)*10,[1]Hugst!$R$4:$W$4,0))))</f>
        <v>616.6954254368917</v>
      </c>
      <c r="W242">
        <f ca="1">IF($C242-W$1&lt;År1,0,V241*(1-VLOOKUP($A242,[1]Hugst!$R$5:$W$9,MATCH(ROUNDUP((W$1)/10,0)*10,[1]Hugst!$R$4:$W$4,0))))</f>
        <v>616.70766860380513</v>
      </c>
      <c r="X242">
        <f ca="1">IF($C242-X$1&lt;År1,0,W241*(1-VLOOKUP($A242,[1]Hugst!$R$5:$W$9,MATCH(ROUNDUP((X$1)/10,0)*10,[1]Hugst!$R$4:$W$4,0))))</f>
        <v>616.72373551331202</v>
      </c>
      <c r="Y242">
        <f ca="1">IF($C242-Y$1&lt;År1,0,X241*(1-VLOOKUP($A242,[1]Hugst!$R$5:$W$9,MATCH(ROUNDUP((Y$1)/10,0)*10,[1]Hugst!$R$4:$W$4,0))))</f>
        <v>616.74362862666089</v>
      </c>
      <c r="Z242">
        <f ca="1">IF($C242-Z$1&lt;År1,0,Y241*(1-VLOOKUP($A242,[1]Hugst!$R$5:$W$9,MATCH(ROUNDUP((Z$1)/10,0)*10,[1]Hugst!$R$4:$W$4,0))))</f>
        <v>617.37039843846787</v>
      </c>
      <c r="AA242">
        <f ca="1">IF($C242-AA$1&lt;År1,0,Z241*(1-VLOOKUP($A242,[1]Hugst!$R$5:$W$9,MATCH(ROUNDUP((AA$1)/10,0)*10,[1]Hugst!$R$4:$W$4,0))))</f>
        <v>618.00164299256267</v>
      </c>
      <c r="AB242">
        <f ca="1">IF($C242-AB$1&lt;År1,0,AA241*(1-VLOOKUP($A242,[1]Hugst!$R$5:$W$9,MATCH(ROUNDUP((AB$1)/10,0)*10,[1]Hugst!$R$4:$W$4,0))))</f>
        <v>618.63737673778655</v>
      </c>
      <c r="AC242">
        <f ca="1">IF($C242-AC$1&lt;År1,0,AB241*(1-VLOOKUP($A242,[1]Hugst!$R$5:$W$9,MATCH(ROUNDUP((AC$1)/10,0)*10,[1]Hugst!$R$4:$W$4,0))))</f>
        <v>619.27761418102432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19.099519704410341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822.53269551489041</v>
      </c>
      <c r="G243">
        <f ca="1">IF($C243-G$1&lt;År1,0,F242*(1-VLOOKUP($A243,[1]Hugst!$R$5:$W$9,MATCH(ROUNDUP((G$1)/10,0)*10,[1]Hugst!$R$4:$W$4,0))))</f>
        <v>822.63995435006939</v>
      </c>
      <c r="H243">
        <f ca="1">IF($C243-H$1&lt;År1,0,G242*(1-VLOOKUP($A243,[1]Hugst!$R$5:$W$9,MATCH(ROUNDUP((H$1)/10,0)*10,[1]Hugst!$R$4:$W$4,0))))</f>
        <v>822.75320490685147</v>
      </c>
      <c r="I243">
        <f ca="1">IF($C243-I$1&lt;År1,0,H242*(1-VLOOKUP($A243,[1]Hugst!$R$5:$W$9,MATCH(ROUNDUP((I$1)/10,0)*10,[1]Hugst!$R$4:$W$4,0))))</f>
        <v>822.87248645764532</v>
      </c>
      <c r="J243">
        <f ca="1">IF($C243-J$1&lt;År1,0,I242*(1-VLOOKUP($A243,[1]Hugst!$R$5:$W$9,MATCH(ROUNDUP((J$1)/10,0)*10,[1]Hugst!$R$4:$W$4,0))))</f>
        <v>822.9978384872494</v>
      </c>
      <c r="K243">
        <f ca="1">IF($C243-K$1&lt;År1,0,J242*(1-VLOOKUP($A243,[1]Hugst!$R$5:$W$9,MATCH(ROUNDUP((K$1)/10,0)*10,[1]Hugst!$R$4:$W$4,0))))</f>
        <v>823.56879710017904</v>
      </c>
      <c r="L243">
        <f ca="1">IF($C243-L$1&lt;År1,0,K242*(1-VLOOKUP($A243,[1]Hugst!$R$5:$W$9,MATCH(ROUNDUP((L$1)/10,0)*10,[1]Hugst!$R$4:$W$4,0))))</f>
        <v>823.53628571554793</v>
      </c>
      <c r="M243">
        <f ca="1">IF($C243-M$1&lt;År1,0,L242*(1-VLOOKUP($A243,[1]Hugst!$R$5:$W$9,MATCH(ROUNDUP((M$1)/10,0)*10,[1]Hugst!$R$4:$W$4,0))))</f>
        <v>823.50437321625316</v>
      </c>
      <c r="N243">
        <f ca="1">IF($C243-N$1&lt;År1,0,M242*(1-VLOOKUP($A243,[1]Hugst!$R$5:$W$9,MATCH(ROUNDUP((N$1)/10,0)*10,[1]Hugst!$R$4:$W$4,0))))</f>
        <v>823.47306428871082</v>
      </c>
      <c r="O243">
        <f ca="1">IF($C243-O$1&lt;År1,0,N242*(1-VLOOKUP($A243,[1]Hugst!$R$5:$W$9,MATCH(ROUNDUP((O$1)/10,0)*10,[1]Hugst!$R$4:$W$4,0))))</f>
        <v>823.44236364658911</v>
      </c>
      <c r="P243">
        <f ca="1">IF($C243-P$1&lt;År1,0,O242*(1-VLOOKUP($A243,[1]Hugst!$R$5:$W$9,MATCH(ROUNDUP((P$1)/10,0)*10,[1]Hugst!$R$4:$W$4,0))))</f>
        <v>821.60478566885888</v>
      </c>
      <c r="Q243">
        <f ca="1">IF($C243-Q$1&lt;År1,0,P242*(1-VLOOKUP($A243,[1]Hugst!$R$5:$W$9,MATCH(ROUNDUP((Q$1)/10,0)*10,[1]Hugst!$R$4:$W$4,0))))</f>
        <v>819.77192238559621</v>
      </c>
      <c r="R243">
        <f ca="1">IF($C243-R$1&lt;År1,0,Q242*(1-VLOOKUP($A243,[1]Hugst!$R$5:$W$9,MATCH(ROUNDUP((R$1)/10,0)*10,[1]Hugst!$R$4:$W$4,0))))</f>
        <v>817.94376536715322</v>
      </c>
      <c r="S243">
        <f ca="1">IF($C243-S$1&lt;År1,0,R242*(1-VLOOKUP($A243,[1]Hugst!$R$5:$W$9,MATCH(ROUNDUP((S$1)/10,0)*10,[1]Hugst!$R$4:$W$4,0))))</f>
        <v>816.12030620777864</v>
      </c>
      <c r="T243">
        <f ca="1">IF($C243-T$1&lt;År1,0,S242*(1-VLOOKUP($A243,[1]Hugst!$R$5:$W$9,MATCH(ROUNDUP((T$1)/10,0)*10,[1]Hugst!$R$4:$W$4,0))))</f>
        <v>616.70905651005455</v>
      </c>
      <c r="U243">
        <f ca="1">IF($C243-U$1&lt;År1,0,T242*(1-VLOOKUP($A243,[1]Hugst!$R$5:$W$9,MATCH(ROUNDUP((U$1)/10,0)*10,[1]Hugst!$R$4:$W$4,0))))</f>
        <v>615.32870753741361</v>
      </c>
      <c r="V243">
        <f ca="1">IF($C243-V$1&lt;År1,0,U242*(1-VLOOKUP($A243,[1]Hugst!$R$5:$W$9,MATCH(ROUNDUP((V$1)/10,0)*10,[1]Hugst!$R$4:$W$4,0))))</f>
        <v>615.33330039799387</v>
      </c>
      <c r="W243">
        <f ca="1">IF($C243-W$1&lt;År1,0,V242*(1-VLOOKUP($A243,[1]Hugst!$R$5:$W$9,MATCH(ROUNDUP((W$1)/10,0)*10,[1]Hugst!$R$4:$W$4,0))))</f>
        <v>615.34170377129851</v>
      </c>
      <c r="X243">
        <f ca="1">IF($C243-X$1&lt;År1,0,W242*(1-VLOOKUP($A243,[1]Hugst!$R$5:$W$9,MATCH(ROUNDUP((X$1)/10,0)*10,[1]Hugst!$R$4:$W$4,0))))</f>
        <v>615.35392006296752</v>
      </c>
      <c r="Y243">
        <f ca="1">IF($C243-Y$1&lt;År1,0,X242*(1-VLOOKUP($A243,[1]Hugst!$R$5:$W$9,MATCH(ROUNDUP((Y$1)/10,0)*10,[1]Hugst!$R$4:$W$4,0))))</f>
        <v>615.36995170364867</v>
      </c>
      <c r="Z243">
        <f ca="1">IF($C243-Z$1&lt;År1,0,Y242*(1-VLOOKUP($A243,[1]Hugst!$R$5:$W$9,MATCH(ROUNDUP((Z$1)/10,0)*10,[1]Hugst!$R$4:$W$4,0))))</f>
        <v>615.99150225028689</v>
      </c>
      <c r="AA243">
        <f ca="1">IF($C243-AA$1&lt;År1,0,Z242*(1-VLOOKUP($A243,[1]Hugst!$R$5:$W$9,MATCH(ROUNDUP((AA$1)/10,0)*10,[1]Hugst!$R$4:$W$4,0))))</f>
        <v>616.6175077086649</v>
      </c>
      <c r="AB243">
        <f ca="1">IF($C243-AB$1&lt;År1,0,AA242*(1-VLOOKUP($A243,[1]Hugst!$R$5:$W$9,MATCH(ROUNDUP((AB$1)/10,0)*10,[1]Hugst!$R$4:$W$4,0))))</f>
        <v>617.24798245232785</v>
      </c>
      <c r="AC243">
        <f ca="1">IF($C243-AC$1&lt;År1,0,AB242*(1-VLOOKUP($A243,[1]Hugst!$R$5:$W$9,MATCH(ROUNDUP((AC$1)/10,0)*10,[1]Hugst!$R$4:$W$4,0))))</f>
        <v>617.88294091249657</v>
      </c>
      <c r="AD243">
        <f ca="1">IF($C243-AD$1&lt;År1,0,AC242*(1-VLOOKUP($A243,[1]Hugst!$R$5:$W$9,MATCH(ROUNDUP((AD$1)/10,0)*10,[1]Hugst!$R$4:$W$4,0))))</f>
        <v>618.52239757836458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20.268465828543412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822.43138934022147</v>
      </c>
      <c r="G244">
        <f ca="1">IF($C244-G$1&lt;År1,0,F243*(1-VLOOKUP($A244,[1]Hugst!$R$5:$W$9,MATCH(ROUNDUP((G$1)/10,0)*10,[1]Hugst!$R$4:$W$4,0))))</f>
        <v>822.53269551489041</v>
      </c>
      <c r="H244">
        <f ca="1">IF($C244-H$1&lt;År1,0,G243*(1-VLOOKUP($A244,[1]Hugst!$R$5:$W$9,MATCH(ROUNDUP((H$1)/10,0)*10,[1]Hugst!$R$4:$W$4,0))))</f>
        <v>822.63995435006939</v>
      </c>
      <c r="I244">
        <f ca="1">IF($C244-I$1&lt;År1,0,H243*(1-VLOOKUP($A244,[1]Hugst!$R$5:$W$9,MATCH(ROUNDUP((I$1)/10,0)*10,[1]Hugst!$R$4:$W$4,0))))</f>
        <v>822.75320490685147</v>
      </c>
      <c r="J244">
        <f ca="1">IF($C244-J$1&lt;År1,0,I243*(1-VLOOKUP($A244,[1]Hugst!$R$5:$W$9,MATCH(ROUNDUP((J$1)/10,0)*10,[1]Hugst!$R$4:$W$4,0))))</f>
        <v>822.87248645764532</v>
      </c>
      <c r="K244">
        <f ca="1">IF($C244-K$1&lt;År1,0,J243*(1-VLOOKUP($A244,[1]Hugst!$R$5:$W$9,MATCH(ROUNDUP((K$1)/10,0)*10,[1]Hugst!$R$4:$W$4,0))))</f>
        <v>822.9978384872494</v>
      </c>
      <c r="L244">
        <f ca="1">IF($C244-L$1&lt;År1,0,K243*(1-VLOOKUP($A244,[1]Hugst!$R$5:$W$9,MATCH(ROUNDUP((L$1)/10,0)*10,[1]Hugst!$R$4:$W$4,0))))</f>
        <v>823.56879710017904</v>
      </c>
      <c r="M244">
        <f ca="1">IF($C244-M$1&lt;År1,0,L243*(1-VLOOKUP($A244,[1]Hugst!$R$5:$W$9,MATCH(ROUNDUP((M$1)/10,0)*10,[1]Hugst!$R$4:$W$4,0))))</f>
        <v>823.53628571554793</v>
      </c>
      <c r="N244">
        <f ca="1">IF($C244-N$1&lt;År1,0,M243*(1-VLOOKUP($A244,[1]Hugst!$R$5:$W$9,MATCH(ROUNDUP((N$1)/10,0)*10,[1]Hugst!$R$4:$W$4,0))))</f>
        <v>823.50437321625316</v>
      </c>
      <c r="O244">
        <f ca="1">IF($C244-O$1&lt;År1,0,N243*(1-VLOOKUP($A244,[1]Hugst!$R$5:$W$9,MATCH(ROUNDUP((O$1)/10,0)*10,[1]Hugst!$R$4:$W$4,0))))</f>
        <v>823.47306428871082</v>
      </c>
      <c r="P244">
        <f ca="1">IF($C244-P$1&lt;År1,0,O243*(1-VLOOKUP($A244,[1]Hugst!$R$5:$W$9,MATCH(ROUNDUP((P$1)/10,0)*10,[1]Hugst!$R$4:$W$4,0))))</f>
        <v>821.63480723858436</v>
      </c>
      <c r="Q244">
        <f ca="1">IF($C244-Q$1&lt;År1,0,P243*(1-VLOOKUP($A244,[1]Hugst!$R$5:$W$9,MATCH(ROUNDUP((Q$1)/10,0)*10,[1]Hugst!$R$4:$W$4,0))))</f>
        <v>819.80126296861022</v>
      </c>
      <c r="R244">
        <f ca="1">IF($C244-R$1&lt;År1,0,Q243*(1-VLOOKUP($A244,[1]Hugst!$R$5:$W$9,MATCH(ROUNDUP((R$1)/10,0)*10,[1]Hugst!$R$4:$W$4,0))))</f>
        <v>817.97242304377414</v>
      </c>
      <c r="S244">
        <f ca="1">IF($C244-S$1&lt;År1,0,R243*(1-VLOOKUP($A244,[1]Hugst!$R$5:$W$9,MATCH(ROUNDUP((S$1)/10,0)*10,[1]Hugst!$R$4:$W$4,0))))</f>
        <v>816.14827905293259</v>
      </c>
      <c r="T244">
        <f ca="1">IF($C244-T$1&lt;År1,0,S243*(1-VLOOKUP($A244,[1]Hugst!$R$5:$W$9,MATCH(ROUNDUP((T$1)/10,0)*10,[1]Hugst!$R$4:$W$4,0))))</f>
        <v>814.32882260878591</v>
      </c>
      <c r="U244">
        <f ca="1">IF($C244-U$1&lt;År1,0,T243*(1-VLOOKUP($A244,[1]Hugst!$R$5:$W$9,MATCH(ROUNDUP((U$1)/10,0)*10,[1]Hugst!$R$4:$W$4,0))))</f>
        <v>615.3553049225934</v>
      </c>
      <c r="V244">
        <f ca="1">IF($C244-V$1&lt;År1,0,U243*(1-VLOOKUP($A244,[1]Hugst!$R$5:$W$9,MATCH(ROUNDUP((V$1)/10,0)*10,[1]Hugst!$R$4:$W$4,0))))</f>
        <v>613.97798598428267</v>
      </c>
      <c r="W244">
        <f ca="1">IF($C244-W$1&lt;År1,0,V243*(1-VLOOKUP($A244,[1]Hugst!$R$5:$W$9,MATCH(ROUNDUP((W$1)/10,0)*10,[1]Hugst!$R$4:$W$4,0))))</f>
        <v>613.98256876297387</v>
      </c>
      <c r="X244">
        <f ca="1">IF($C244-X$1&lt;År1,0,W243*(1-VLOOKUP($A244,[1]Hugst!$R$5:$W$9,MATCH(ROUNDUP((X$1)/10,0)*10,[1]Hugst!$R$4:$W$4,0))))</f>
        <v>613.99095368984933</v>
      </c>
      <c r="Y244">
        <f ca="1">IF($C244-Y$1&lt;År1,0,X243*(1-VLOOKUP($A244,[1]Hugst!$R$5:$W$9,MATCH(ROUNDUP((Y$1)/10,0)*10,[1]Hugst!$R$4:$W$4,0))))</f>
        <v>614.00314316526828</v>
      </c>
      <c r="Z244">
        <f ca="1">IF($C244-Z$1&lt;År1,0,Y243*(1-VLOOKUP($A244,[1]Hugst!$R$5:$W$9,MATCH(ROUNDUP((Z$1)/10,0)*10,[1]Hugst!$R$4:$W$4,0))))</f>
        <v>614.61950054303441</v>
      </c>
      <c r="AA244">
        <f ca="1">IF($C244-AA$1&lt;År1,0,Z243*(1-VLOOKUP($A244,[1]Hugst!$R$5:$W$9,MATCH(ROUNDUP((AA$1)/10,0)*10,[1]Hugst!$R$4:$W$4,0))))</f>
        <v>615.24029310120113</v>
      </c>
      <c r="AB244">
        <f ca="1">IF($C244-AB$1&lt;År1,0,AA243*(1-VLOOKUP($A244,[1]Hugst!$R$5:$W$9,MATCH(ROUNDUP((AB$1)/10,0)*10,[1]Hugst!$R$4:$W$4,0))))</f>
        <v>615.86553513828846</v>
      </c>
      <c r="AC244">
        <f ca="1">IF($C244-AC$1&lt;År1,0,AB243*(1-VLOOKUP($A244,[1]Hugst!$R$5:$W$9,MATCH(ROUNDUP((AC$1)/10,0)*10,[1]Hugst!$R$4:$W$4,0))))</f>
        <v>616.49524101031284</v>
      </c>
      <c r="AD244">
        <f ca="1">IF($C244-AD$1&lt;År1,0,AC243*(1-VLOOKUP($A244,[1]Hugst!$R$5:$W$9,MATCH(ROUNDUP((AD$1)/10,0)*10,[1]Hugst!$R$4:$W$4,0))))</f>
        <v>617.12942513089592</v>
      </c>
      <c r="AE244">
        <f ca="1">IF($C244-AE$1&lt;År1,0,AD243*(1-VLOOKUP($A244,[1]Hugst!$R$5:$W$9,MATCH(ROUNDUP((AE$1)/10,0)*10,[1]Hugst!$R$4:$W$4,0))))</f>
        <v>617.76810197156169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21.436974500822544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822.33599697519469</v>
      </c>
      <c r="G245">
        <f ca="1">IF($C245-G$1&lt;År1,0,F244*(1-VLOOKUP($A245,[1]Hugst!$R$5:$W$9,MATCH(ROUNDUP((G$1)/10,0)*10,[1]Hugst!$R$4:$W$4,0))))</f>
        <v>822.43138934022147</v>
      </c>
      <c r="H245">
        <f ca="1">IF($C245-H$1&lt;År1,0,G244*(1-VLOOKUP($A245,[1]Hugst!$R$5:$W$9,MATCH(ROUNDUP((H$1)/10,0)*10,[1]Hugst!$R$4:$W$4,0))))</f>
        <v>822.53269551489041</v>
      </c>
      <c r="I245">
        <f ca="1">IF($C245-I$1&lt;År1,0,H244*(1-VLOOKUP($A245,[1]Hugst!$R$5:$W$9,MATCH(ROUNDUP((I$1)/10,0)*10,[1]Hugst!$R$4:$W$4,0))))</f>
        <v>822.63995435006939</v>
      </c>
      <c r="J245">
        <f ca="1">IF($C245-J$1&lt;År1,0,I244*(1-VLOOKUP($A245,[1]Hugst!$R$5:$W$9,MATCH(ROUNDUP((J$1)/10,0)*10,[1]Hugst!$R$4:$W$4,0))))</f>
        <v>822.75320490685147</v>
      </c>
      <c r="K245">
        <f ca="1">IF($C245-K$1&lt;År1,0,J244*(1-VLOOKUP($A245,[1]Hugst!$R$5:$W$9,MATCH(ROUNDUP((K$1)/10,0)*10,[1]Hugst!$R$4:$W$4,0))))</f>
        <v>822.87248645764532</v>
      </c>
      <c r="L245">
        <f ca="1">IF($C245-L$1&lt;År1,0,K244*(1-VLOOKUP($A245,[1]Hugst!$R$5:$W$9,MATCH(ROUNDUP((L$1)/10,0)*10,[1]Hugst!$R$4:$W$4,0))))</f>
        <v>822.9978384872494</v>
      </c>
      <c r="M245">
        <f ca="1">IF($C245-M$1&lt;År1,0,L244*(1-VLOOKUP($A245,[1]Hugst!$R$5:$W$9,MATCH(ROUNDUP((M$1)/10,0)*10,[1]Hugst!$R$4:$W$4,0))))</f>
        <v>823.56879710017904</v>
      </c>
      <c r="N245">
        <f ca="1">IF($C245-N$1&lt;År1,0,M244*(1-VLOOKUP($A245,[1]Hugst!$R$5:$W$9,MATCH(ROUNDUP((N$1)/10,0)*10,[1]Hugst!$R$4:$W$4,0))))</f>
        <v>823.53628571554793</v>
      </c>
      <c r="O245">
        <f ca="1">IF($C245-O$1&lt;År1,0,N244*(1-VLOOKUP($A245,[1]Hugst!$R$5:$W$9,MATCH(ROUNDUP((O$1)/10,0)*10,[1]Hugst!$R$4:$W$4,0))))</f>
        <v>823.50437321625316</v>
      </c>
      <c r="P245">
        <f ca="1">IF($C245-P$1&lt;År1,0,O244*(1-VLOOKUP($A245,[1]Hugst!$R$5:$W$9,MATCH(ROUNDUP((P$1)/10,0)*10,[1]Hugst!$R$4:$W$4,0))))</f>
        <v>821.66544048905268</v>
      </c>
      <c r="Q245">
        <f ca="1">IF($C245-Q$1&lt;År1,0,P244*(1-VLOOKUP($A245,[1]Hugst!$R$5:$W$9,MATCH(ROUNDUP((Q$1)/10,0)*10,[1]Hugst!$R$4:$W$4,0))))</f>
        <v>819.8312186373289</v>
      </c>
      <c r="R245">
        <f ca="1">IF($C245-R$1&lt;År1,0,Q244*(1-VLOOKUP($A245,[1]Hugst!$R$5:$W$9,MATCH(ROUNDUP((R$1)/10,0)*10,[1]Hugst!$R$4:$W$4,0))))</f>
        <v>818.00169922063037</v>
      </c>
      <c r="S245">
        <f ca="1">IF($C245-S$1&lt;År1,0,R244*(1-VLOOKUP($A245,[1]Hugst!$R$5:$W$9,MATCH(ROUNDUP((S$1)/10,0)*10,[1]Hugst!$R$4:$W$4,0))))</f>
        <v>816.17687382245856</v>
      </c>
      <c r="T245">
        <f ca="1">IF($C245-T$1&lt;År1,0,S244*(1-VLOOKUP($A245,[1]Hugst!$R$5:$W$9,MATCH(ROUNDUP((T$1)/10,0)*10,[1]Hugst!$R$4:$W$4,0))))</f>
        <v>814.35673405013347</v>
      </c>
      <c r="U245">
        <f ca="1">IF($C245-U$1&lt;År1,0,T244*(1-VLOOKUP($A245,[1]Hugst!$R$5:$W$9,MATCH(ROUNDUP((U$1)/10,0)*10,[1]Hugst!$R$4:$W$4,0))))</f>
        <v>812.54127153476668</v>
      </c>
      <c r="V245">
        <f ca="1">IF($C245-V$1&lt;År1,0,U244*(1-VLOOKUP($A245,[1]Hugst!$R$5:$W$9,MATCH(ROUNDUP((V$1)/10,0)*10,[1]Hugst!$R$4:$W$4,0))))</f>
        <v>614.00452498495849</v>
      </c>
      <c r="W245">
        <f ca="1">IF($C245-W$1&lt;År1,0,V244*(1-VLOOKUP($A245,[1]Hugst!$R$5:$W$9,MATCH(ROUNDUP((W$1)/10,0)*10,[1]Hugst!$R$4:$W$4,0))))</f>
        <v>612.63022942968303</v>
      </c>
      <c r="X245">
        <f ca="1">IF($C245-X$1&lt;År1,0,W244*(1-VLOOKUP($A245,[1]Hugst!$R$5:$W$9,MATCH(ROUNDUP((X$1)/10,0)*10,[1]Hugst!$R$4:$W$4,0))))</f>
        <v>612.63480214861613</v>
      </c>
      <c r="Y245">
        <f ca="1">IF($C245-Y$1&lt;År1,0,X244*(1-VLOOKUP($A245,[1]Hugst!$R$5:$W$9,MATCH(ROUNDUP((Y$1)/10,0)*10,[1]Hugst!$R$4:$W$4,0))))</f>
        <v>612.6431686695546</v>
      </c>
      <c r="Z245">
        <f ca="1">IF($C245-Z$1&lt;År1,0,Y244*(1-VLOOKUP($A245,[1]Hugst!$R$5:$W$9,MATCH(ROUNDUP((Z$1)/10,0)*10,[1]Hugst!$R$4:$W$4,0))))</f>
        <v>613.254358844335</v>
      </c>
      <c r="AA245">
        <f ca="1">IF($C245-AA$1&lt;År1,0,Z244*(1-VLOOKUP($A245,[1]Hugst!$R$5:$W$9,MATCH(ROUNDUP((AA$1)/10,0)*10,[1]Hugst!$R$4:$W$4,0))))</f>
        <v>613.86996456676241</v>
      </c>
      <c r="AB245">
        <f ca="1">IF($C245-AB$1&lt;År1,0,AA244*(1-VLOOKUP($A245,[1]Hugst!$R$5:$W$9,MATCH(ROUNDUP((AB$1)/10,0)*10,[1]Hugst!$R$4:$W$4,0))))</f>
        <v>614.49000006083384</v>
      </c>
      <c r="AC245">
        <f ca="1">IF($C245-AC$1&lt;År1,0,AB244*(1-VLOOKUP($A245,[1]Hugst!$R$5:$W$9,MATCH(ROUNDUP((AC$1)/10,0)*10,[1]Hugst!$R$4:$W$4,0))))</f>
        <v>615.11447960763201</v>
      </c>
      <c r="AD245">
        <f ca="1">IF($C245-AD$1&lt;År1,0,AC244*(1-VLOOKUP($A245,[1]Hugst!$R$5:$W$9,MATCH(ROUNDUP((AD$1)/10,0)*10,[1]Hugst!$R$4:$W$4,0))))</f>
        <v>615.74341754566615</v>
      </c>
      <c r="AE245">
        <f ca="1">IF($C245-AE$1&lt;År1,0,AD244*(1-VLOOKUP($A245,[1]Hugst!$R$5:$W$9,MATCH(ROUNDUP((AE$1)/10,0)*10,[1]Hugst!$R$4:$W$4,0))))</f>
        <v>616.37682827098024</v>
      </c>
      <c r="AF245">
        <f ca="1">IF($C245-AF$1&lt;År1,0,AE244*(1-VLOOKUP($A245,[1]Hugst!$R$5:$W$9,MATCH(ROUNDUP((AF$1)/10,0)*10,[1]Hugst!$R$4:$W$4,0))))</f>
        <v>617.01472623745008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22.605038835808955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822.24647977804045</v>
      </c>
      <c r="G246">
        <f ca="1">IF($C246-G$1&lt;År1,0,F245*(1-VLOOKUP($A246,[1]Hugst!$R$5:$W$9,MATCH(ROUNDUP((G$1)/10,0)*10,[1]Hugst!$R$4:$W$4,0))))</f>
        <v>822.33599697519469</v>
      </c>
      <c r="H246">
        <f ca="1">IF($C246-H$1&lt;År1,0,G245*(1-VLOOKUP($A246,[1]Hugst!$R$5:$W$9,MATCH(ROUNDUP((H$1)/10,0)*10,[1]Hugst!$R$4:$W$4,0))))</f>
        <v>822.43138934022147</v>
      </c>
      <c r="I246">
        <f ca="1">IF($C246-I$1&lt;År1,0,H245*(1-VLOOKUP($A246,[1]Hugst!$R$5:$W$9,MATCH(ROUNDUP((I$1)/10,0)*10,[1]Hugst!$R$4:$W$4,0))))</f>
        <v>822.53269551489041</v>
      </c>
      <c r="J246">
        <f ca="1">IF($C246-J$1&lt;År1,0,I245*(1-VLOOKUP($A246,[1]Hugst!$R$5:$W$9,MATCH(ROUNDUP((J$1)/10,0)*10,[1]Hugst!$R$4:$W$4,0))))</f>
        <v>822.63995435006939</v>
      </c>
      <c r="K246">
        <f ca="1">IF($C246-K$1&lt;År1,0,J245*(1-VLOOKUP($A246,[1]Hugst!$R$5:$W$9,MATCH(ROUNDUP((K$1)/10,0)*10,[1]Hugst!$R$4:$W$4,0))))</f>
        <v>822.75320490685147</v>
      </c>
      <c r="L246">
        <f ca="1">IF($C246-L$1&lt;År1,0,K245*(1-VLOOKUP($A246,[1]Hugst!$R$5:$W$9,MATCH(ROUNDUP((L$1)/10,0)*10,[1]Hugst!$R$4:$W$4,0))))</f>
        <v>822.87248645764532</v>
      </c>
      <c r="M246">
        <f ca="1">IF($C246-M$1&lt;År1,0,L245*(1-VLOOKUP($A246,[1]Hugst!$R$5:$W$9,MATCH(ROUNDUP((M$1)/10,0)*10,[1]Hugst!$R$4:$W$4,0))))</f>
        <v>822.9978384872494</v>
      </c>
      <c r="N246">
        <f ca="1">IF($C246-N$1&lt;År1,0,M245*(1-VLOOKUP($A246,[1]Hugst!$R$5:$W$9,MATCH(ROUNDUP((N$1)/10,0)*10,[1]Hugst!$R$4:$W$4,0))))</f>
        <v>823.56879710017904</v>
      </c>
      <c r="O246">
        <f ca="1">IF($C246-O$1&lt;År1,0,N245*(1-VLOOKUP($A246,[1]Hugst!$R$5:$W$9,MATCH(ROUNDUP((O$1)/10,0)*10,[1]Hugst!$R$4:$W$4,0))))</f>
        <v>823.53628571554793</v>
      </c>
      <c r="P246">
        <f ca="1">IF($C246-P$1&lt;År1,0,O245*(1-VLOOKUP($A246,[1]Hugst!$R$5:$W$9,MATCH(ROUNDUP((P$1)/10,0)*10,[1]Hugst!$R$4:$W$4,0))))</f>
        <v>821.69668068968087</v>
      </c>
      <c r="Q246">
        <f ca="1">IF($C246-Q$1&lt;År1,0,P245*(1-VLOOKUP($A246,[1]Hugst!$R$5:$W$9,MATCH(ROUNDUP((Q$1)/10,0)*10,[1]Hugst!$R$4:$W$4,0))))</f>
        <v>819.86178464407669</v>
      </c>
      <c r="R246">
        <f ca="1">IF($C246-R$1&lt;År1,0,Q245*(1-VLOOKUP($A246,[1]Hugst!$R$5:$W$9,MATCH(ROUNDUP((R$1)/10,0)*10,[1]Hugst!$R$4:$W$4,0))))</f>
        <v>818.03158913300308</v>
      </c>
      <c r="S246">
        <f ca="1">IF($C246-S$1&lt;År1,0,R245*(1-VLOOKUP($A246,[1]Hugst!$R$5:$W$9,MATCH(ROUNDUP((S$1)/10,0)*10,[1]Hugst!$R$4:$W$4,0))))</f>
        <v>816.20608573453626</v>
      </c>
      <c r="T246">
        <f ca="1">IF($C246-T$1&lt;År1,0,S245*(1-VLOOKUP($A246,[1]Hugst!$R$5:$W$9,MATCH(ROUNDUP((T$1)/10,0)*10,[1]Hugst!$R$4:$W$4,0))))</f>
        <v>814.38526605065317</v>
      </c>
      <c r="U246">
        <f ca="1">IF($C246-U$1&lt;År1,0,T245*(1-VLOOKUP($A246,[1]Hugst!$R$5:$W$9,MATCH(ROUNDUP((U$1)/10,0)*10,[1]Hugst!$R$4:$W$4,0))))</f>
        <v>812.56912170709654</v>
      </c>
      <c r="V246">
        <f ca="1">IF($C246-V$1&lt;År1,0,U245*(1-VLOOKUP($A246,[1]Hugst!$R$5:$W$9,MATCH(ROUNDUP((V$1)/10,0)*10,[1]Hugst!$R$4:$W$4,0))))</f>
        <v>810.75764435334895</v>
      </c>
      <c r="W246">
        <f ca="1">IF($C246-W$1&lt;År1,0,V245*(1-VLOOKUP($A246,[1]Hugst!$R$5:$W$9,MATCH(ROUNDUP((W$1)/10,0)*10,[1]Hugst!$R$4:$W$4,0))))</f>
        <v>612.65671017401587</v>
      </c>
      <c r="X246">
        <f ca="1">IF($C246-X$1&lt;År1,0,W245*(1-VLOOKUP($A246,[1]Hugst!$R$5:$W$9,MATCH(ROUNDUP((X$1)/10,0)*10,[1]Hugst!$R$4:$W$4,0))))</f>
        <v>611.28543136508131</v>
      </c>
      <c r="Y246">
        <f ca="1">IF($C246-Y$1&lt;År1,0,X245*(1-VLOOKUP($A246,[1]Hugst!$R$5:$W$9,MATCH(ROUNDUP((Y$1)/10,0)*10,[1]Hugst!$R$4:$W$4,0))))</f>
        <v>611.28999404633873</v>
      </c>
      <c r="Z246">
        <f ca="1">IF($C246-Z$1&lt;År1,0,Y245*(1-VLOOKUP($A246,[1]Hugst!$R$5:$W$9,MATCH(ROUNDUP((Z$1)/10,0)*10,[1]Hugst!$R$4:$W$4,0))))</f>
        <v>611.89604285410394</v>
      </c>
      <c r="AA246">
        <f ca="1">IF($C246-AA$1&lt;År1,0,Z245*(1-VLOOKUP($A246,[1]Hugst!$R$5:$W$9,MATCH(ROUNDUP((AA$1)/10,0)*10,[1]Hugst!$R$4:$W$4,0))))</f>
        <v>612.50648767501264</v>
      </c>
      <c r="AB246">
        <f ca="1">IF($C246-AB$1&lt;År1,0,AA245*(1-VLOOKUP($A246,[1]Hugst!$R$5:$W$9,MATCH(ROUNDUP((AB$1)/10,0)*10,[1]Hugst!$R$4:$W$4,0))))</f>
        <v>613.1213426587542</v>
      </c>
      <c r="AC246">
        <f ca="1">IF($C246-AC$1&lt;År1,0,AB245*(1-VLOOKUP($A246,[1]Hugst!$R$5:$W$9,MATCH(ROUNDUP((AC$1)/10,0)*10,[1]Hugst!$R$4:$W$4,0))))</f>
        <v>613.74062201197921</v>
      </c>
      <c r="AD246">
        <f ca="1">IF($C246-AD$1&lt;År1,0,AC245*(1-VLOOKUP($A246,[1]Hugst!$R$5:$W$9,MATCH(ROUNDUP((AD$1)/10,0)*10,[1]Hugst!$R$4:$W$4,0))))</f>
        <v>614.36433999835435</v>
      </c>
      <c r="AE246">
        <f ca="1">IF($C246-AE$1&lt;År1,0,AD245*(1-VLOOKUP($A246,[1]Hugst!$R$5:$W$9,MATCH(ROUNDUP((AE$1)/10,0)*10,[1]Hugst!$R$4:$W$4,0))))</f>
        <v>614.99251093890314</v>
      </c>
      <c r="AF246">
        <f ca="1">IF($C246-AF$1&lt;År1,0,AE245*(1-VLOOKUP($A246,[1]Hugst!$R$5:$W$9,MATCH(ROUNDUP((AF$1)/10,0)*10,[1]Hugst!$R$4:$W$4,0))))</f>
        <v>615.62514921211323</v>
      </c>
      <c r="AG246">
        <f ca="1">IF($C246-AG$1&lt;År1,0,AF245*(1-VLOOKUP($A246,[1]Hugst!$R$5:$W$9,MATCH(ROUNDUP((AG$1)/10,0)*10,[1]Hugst!$R$4:$W$4,0))))</f>
        <v>616.26226925423373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23.772651997402136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822.16279931517522</v>
      </c>
      <c r="G247">
        <f ca="1">IF($C247-G$1&lt;År1,0,F246*(1-VLOOKUP($A247,[1]Hugst!$R$5:$W$9,MATCH(ROUNDUP((G$1)/10,0)*10,[1]Hugst!$R$4:$W$4,0))))</f>
        <v>822.24647977804045</v>
      </c>
      <c r="H247">
        <f ca="1">IF($C247-H$1&lt;År1,0,G246*(1-VLOOKUP($A247,[1]Hugst!$R$5:$W$9,MATCH(ROUNDUP((H$1)/10,0)*10,[1]Hugst!$R$4:$W$4,0))))</f>
        <v>822.33599697519469</v>
      </c>
      <c r="I247">
        <f ca="1">IF($C247-I$1&lt;År1,0,H246*(1-VLOOKUP($A247,[1]Hugst!$R$5:$W$9,MATCH(ROUNDUP((I$1)/10,0)*10,[1]Hugst!$R$4:$W$4,0))))</f>
        <v>822.43138934022147</v>
      </c>
      <c r="J247">
        <f ca="1">IF($C247-J$1&lt;År1,0,I246*(1-VLOOKUP($A247,[1]Hugst!$R$5:$W$9,MATCH(ROUNDUP((J$1)/10,0)*10,[1]Hugst!$R$4:$W$4,0))))</f>
        <v>822.53269551489041</v>
      </c>
      <c r="K247">
        <f ca="1">IF($C247-K$1&lt;År1,0,J246*(1-VLOOKUP($A247,[1]Hugst!$R$5:$W$9,MATCH(ROUNDUP((K$1)/10,0)*10,[1]Hugst!$R$4:$W$4,0))))</f>
        <v>822.63995435006939</v>
      </c>
      <c r="L247">
        <f ca="1">IF($C247-L$1&lt;År1,0,K246*(1-VLOOKUP($A247,[1]Hugst!$R$5:$W$9,MATCH(ROUNDUP((L$1)/10,0)*10,[1]Hugst!$R$4:$W$4,0))))</f>
        <v>822.75320490685147</v>
      </c>
      <c r="M247">
        <f ca="1">IF($C247-M$1&lt;År1,0,L246*(1-VLOOKUP($A247,[1]Hugst!$R$5:$W$9,MATCH(ROUNDUP((M$1)/10,0)*10,[1]Hugst!$R$4:$W$4,0))))</f>
        <v>822.87248645764532</v>
      </c>
      <c r="N247">
        <f ca="1">IF($C247-N$1&lt;År1,0,M246*(1-VLOOKUP($A247,[1]Hugst!$R$5:$W$9,MATCH(ROUNDUP((N$1)/10,0)*10,[1]Hugst!$R$4:$W$4,0))))</f>
        <v>822.9978384872494</v>
      </c>
      <c r="O247">
        <f ca="1">IF($C247-O$1&lt;År1,0,N246*(1-VLOOKUP($A247,[1]Hugst!$R$5:$W$9,MATCH(ROUNDUP((O$1)/10,0)*10,[1]Hugst!$R$4:$W$4,0))))</f>
        <v>823.56879710017904</v>
      </c>
      <c r="P247">
        <f ca="1">IF($C247-P$1&lt;År1,0,O246*(1-VLOOKUP($A247,[1]Hugst!$R$5:$W$9,MATCH(ROUNDUP((P$1)/10,0)*10,[1]Hugst!$R$4:$W$4,0))))</f>
        <v>821.72852313714793</v>
      </c>
      <c r="Q247">
        <f ca="1">IF($C247-Q$1&lt;År1,0,P246*(1-VLOOKUP($A247,[1]Hugst!$R$5:$W$9,MATCH(ROUNDUP((Q$1)/10,0)*10,[1]Hugst!$R$4:$W$4,0))))</f>
        <v>819.89295626865476</v>
      </c>
      <c r="R247">
        <f ca="1">IF($C247-R$1&lt;År1,0,Q246*(1-VLOOKUP($A247,[1]Hugst!$R$5:$W$9,MATCH(ROUNDUP((R$1)/10,0)*10,[1]Hugst!$R$4:$W$4,0))))</f>
        <v>818.06208804363848</v>
      </c>
      <c r="S247">
        <f ca="1">IF($C247-S$1&lt;År1,0,R246*(1-VLOOKUP($A247,[1]Hugst!$R$5:$W$9,MATCH(ROUNDUP((S$1)/10,0)*10,[1]Hugst!$R$4:$W$4,0))))</f>
        <v>816.23591003490628</v>
      </c>
      <c r="T247">
        <f ca="1">IF($C247-T$1&lt;År1,0,S246*(1-VLOOKUP($A247,[1]Hugst!$R$5:$W$9,MATCH(ROUNDUP((T$1)/10,0)*10,[1]Hugst!$R$4:$W$4,0))))</f>
        <v>814.41441383902145</v>
      </c>
      <c r="U247">
        <f ca="1">IF($C247-U$1&lt;År1,0,T246*(1-VLOOKUP($A247,[1]Hugst!$R$5:$W$9,MATCH(ROUNDUP((U$1)/10,0)*10,[1]Hugst!$R$4:$W$4,0))))</f>
        <v>812.59759107639559</v>
      </c>
      <c r="V247">
        <f ca="1">IF($C247-V$1&lt;År1,0,U246*(1-VLOOKUP($A247,[1]Hugst!$R$5:$W$9,MATCH(ROUNDUP((V$1)/10,0)*10,[1]Hugst!$R$4:$W$4,0))))</f>
        <v>810.78543339115413</v>
      </c>
      <c r="W247">
        <f ca="1">IF($C247-W$1&lt;År1,0,V246*(1-VLOOKUP($A247,[1]Hugst!$R$5:$W$9,MATCH(ROUNDUP((W$1)/10,0)*10,[1]Hugst!$R$4:$W$4,0))))</f>
        <v>808.97793245110984</v>
      </c>
      <c r="X247">
        <f ca="1">IF($C247-X$1&lt;År1,0,W246*(1-VLOOKUP($A247,[1]Hugst!$R$5:$W$9,MATCH(ROUNDUP((X$1)/10,0)*10,[1]Hugst!$R$4:$W$4,0))))</f>
        <v>611.3118539809509</v>
      </c>
      <c r="Y247">
        <f ca="1">IF($C247-Y$1&lt;År1,0,X246*(1-VLOOKUP($A247,[1]Hugst!$R$5:$W$9,MATCH(ROUNDUP((Y$1)/10,0)*10,[1]Hugst!$R$4:$W$4,0))))</f>
        <v>609.94358529623116</v>
      </c>
      <c r="Z247">
        <f ca="1">IF($C247-Z$1&lt;År1,0,Y246*(1-VLOOKUP($A247,[1]Hugst!$R$5:$W$9,MATCH(ROUNDUP((Z$1)/10,0)*10,[1]Hugst!$R$4:$W$4,0))))</f>
        <v>610.54451844384323</v>
      </c>
      <c r="AA247">
        <f ca="1">IF($C247-AA$1&lt;År1,0,Z246*(1-VLOOKUP($A247,[1]Hugst!$R$5:$W$9,MATCH(ROUNDUP((AA$1)/10,0)*10,[1]Hugst!$R$4:$W$4,0))))</f>
        <v>611.14982816769646</v>
      </c>
      <c r="AB247">
        <f ca="1">IF($C247-AB$1&lt;År1,0,AA246*(1-VLOOKUP($A247,[1]Hugst!$R$5:$W$9,MATCH(ROUNDUP((AB$1)/10,0)*10,[1]Hugst!$R$4:$W$4,0))))</f>
        <v>611.75952854370166</v>
      </c>
      <c r="AC247">
        <f ca="1">IF($C247-AC$1&lt;År1,0,AB246*(1-VLOOKUP($A247,[1]Hugst!$R$5:$W$9,MATCH(ROUNDUP((AC$1)/10,0)*10,[1]Hugst!$R$4:$W$4,0))))</f>
        <v>612.37363370429227</v>
      </c>
      <c r="AD247">
        <f ca="1">IF($C247-AD$1&lt;År1,0,AC246*(1-VLOOKUP($A247,[1]Hugst!$R$5:$W$9,MATCH(ROUNDUP((AD$1)/10,0)*10,[1]Hugst!$R$4:$W$4,0))))</f>
        <v>612.9921578387939</v>
      </c>
      <c r="AE247">
        <f ca="1">IF($C247-AE$1&lt;År1,0,AD246*(1-VLOOKUP($A247,[1]Hugst!$R$5:$W$9,MATCH(ROUNDUP((AE$1)/10,0)*10,[1]Hugst!$R$4:$W$4,0))))</f>
        <v>613.61511519347835</v>
      </c>
      <c r="AF247">
        <f ca="1">IF($C247-AF$1&lt;År1,0,AE246*(1-VLOOKUP($A247,[1]Hugst!$R$5:$W$9,MATCH(ROUNDUP((AF$1)/10,0)*10,[1]Hugst!$R$4:$W$4,0))))</f>
        <v>614.24252007190444</v>
      </c>
      <c r="AG247">
        <f ca="1">IF($C247-AG$1&lt;År1,0,AF246*(1-VLOOKUP($A247,[1]Hugst!$R$5:$W$9,MATCH(ROUNDUP((AG$1)/10,0)*10,[1]Hugst!$R$4:$W$4,0))))</f>
        <v>614.87438683502523</v>
      </c>
      <c r="AH247">
        <f ca="1">IF($C247-AH$1&lt;År1,0,AG246*(1-VLOOKUP($A247,[1]Hugst!$R$5:$W$9,MATCH(ROUNDUP((AH$1)/10,0)*10,[1]Hugst!$R$4:$W$4,0))))</f>
        <v>615.51072990148464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24.939807198512426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822.08491735995278</v>
      </c>
      <c r="G248">
        <f ca="1">IF($C248-G$1&lt;År1,0,F247*(1-VLOOKUP($A248,[1]Hugst!$R$5:$W$9,MATCH(ROUNDUP((G$1)/10,0)*10,[1]Hugst!$R$4:$W$4,0))))</f>
        <v>822.16279931517522</v>
      </c>
      <c r="H248">
        <f ca="1">IF($C248-H$1&lt;År1,0,G247*(1-VLOOKUP($A248,[1]Hugst!$R$5:$W$9,MATCH(ROUNDUP((H$1)/10,0)*10,[1]Hugst!$R$4:$W$4,0))))</f>
        <v>822.24647977804045</v>
      </c>
      <c r="I248">
        <f ca="1">IF($C248-I$1&lt;År1,0,H247*(1-VLOOKUP($A248,[1]Hugst!$R$5:$W$9,MATCH(ROUNDUP((I$1)/10,0)*10,[1]Hugst!$R$4:$W$4,0))))</f>
        <v>822.33599697519469</v>
      </c>
      <c r="J248">
        <f ca="1">IF($C248-J$1&lt;År1,0,I247*(1-VLOOKUP($A248,[1]Hugst!$R$5:$W$9,MATCH(ROUNDUP((J$1)/10,0)*10,[1]Hugst!$R$4:$W$4,0))))</f>
        <v>822.43138934022147</v>
      </c>
      <c r="K248">
        <f ca="1">IF($C248-K$1&lt;År1,0,J247*(1-VLOOKUP($A248,[1]Hugst!$R$5:$W$9,MATCH(ROUNDUP((K$1)/10,0)*10,[1]Hugst!$R$4:$W$4,0))))</f>
        <v>822.53269551489041</v>
      </c>
      <c r="L248">
        <f ca="1">IF($C248-L$1&lt;År1,0,K247*(1-VLOOKUP($A248,[1]Hugst!$R$5:$W$9,MATCH(ROUNDUP((L$1)/10,0)*10,[1]Hugst!$R$4:$W$4,0))))</f>
        <v>822.63995435006939</v>
      </c>
      <c r="M248">
        <f ca="1">IF($C248-M$1&lt;År1,0,L247*(1-VLOOKUP($A248,[1]Hugst!$R$5:$W$9,MATCH(ROUNDUP((M$1)/10,0)*10,[1]Hugst!$R$4:$W$4,0))))</f>
        <v>822.75320490685147</v>
      </c>
      <c r="N248">
        <f ca="1">IF($C248-N$1&lt;År1,0,M247*(1-VLOOKUP($A248,[1]Hugst!$R$5:$W$9,MATCH(ROUNDUP((N$1)/10,0)*10,[1]Hugst!$R$4:$W$4,0))))</f>
        <v>822.87248645764532</v>
      </c>
      <c r="O248">
        <f ca="1">IF($C248-O$1&lt;År1,0,N247*(1-VLOOKUP($A248,[1]Hugst!$R$5:$W$9,MATCH(ROUNDUP((O$1)/10,0)*10,[1]Hugst!$R$4:$W$4,0))))</f>
        <v>822.9978384872494</v>
      </c>
      <c r="P248">
        <f ca="1">IF($C248-P$1&lt;År1,0,O247*(1-VLOOKUP($A248,[1]Hugst!$R$5:$W$9,MATCH(ROUNDUP((P$1)/10,0)*10,[1]Hugst!$R$4:$W$4,0))))</f>
        <v>821.76096315532504</v>
      </c>
      <c r="Q248">
        <f ca="1">IF($C248-Q$1&lt;År1,0,P247*(1-VLOOKUP($A248,[1]Hugst!$R$5:$W$9,MATCH(ROUNDUP((Q$1)/10,0)*10,[1]Hugst!$R$4:$W$4,0))))</f>
        <v>819.92472881806634</v>
      </c>
      <c r="R248">
        <f ca="1">IF($C248-R$1&lt;År1,0,Q247*(1-VLOOKUP($A248,[1]Hugst!$R$5:$W$9,MATCH(ROUNDUP((R$1)/10,0)*10,[1]Hugst!$R$4:$W$4,0))))</f>
        <v>818.09319124269916</v>
      </c>
      <c r="S248">
        <f ca="1">IF($C248-S$1&lt;År1,0,R247*(1-VLOOKUP($A248,[1]Hugst!$R$5:$W$9,MATCH(ROUNDUP((S$1)/10,0)*10,[1]Hugst!$R$4:$W$4,0))))</f>
        <v>816.26634199671344</v>
      </c>
      <c r="T248">
        <f ca="1">IF($C248-T$1&lt;År1,0,S247*(1-VLOOKUP($A248,[1]Hugst!$R$5:$W$9,MATCH(ROUNDUP((T$1)/10,0)*10,[1]Hugst!$R$4:$W$4,0))))</f>
        <v>814.444172671415</v>
      </c>
      <c r="U248">
        <f ca="1">IF($C248-U$1&lt;År1,0,T247*(1-VLOOKUP($A248,[1]Hugst!$R$5:$W$9,MATCH(ROUNDUP((U$1)/10,0)*10,[1]Hugst!$R$4:$W$4,0))))</f>
        <v>812.62667488181387</v>
      </c>
      <c r="V248">
        <f ca="1">IF($C248-V$1&lt;År1,0,U247*(1-VLOOKUP($A248,[1]Hugst!$R$5:$W$9,MATCH(ROUNDUP((V$1)/10,0)*10,[1]Hugst!$R$4:$W$4,0))))</f>
        <v>810.81384026671572</v>
      </c>
      <c r="W248">
        <f ca="1">IF($C248-W$1&lt;År1,0,V247*(1-VLOOKUP($A248,[1]Hugst!$R$5:$W$9,MATCH(ROUNDUP((W$1)/10,0)*10,[1]Hugst!$R$4:$W$4,0))))</f>
        <v>809.00566048858821</v>
      </c>
      <c r="X248">
        <f ca="1">IF($C248-X$1&lt;År1,0,W247*(1-VLOOKUP($A248,[1]Hugst!$R$5:$W$9,MATCH(ROUNDUP((X$1)/10,0)*10,[1]Hugst!$R$4:$W$4,0))))</f>
        <v>807.20212723353427</v>
      </c>
      <c r="Y248">
        <f ca="1">IF($C248-Y$1&lt;År1,0,X247*(1-VLOOKUP($A248,[1]Hugst!$R$5:$W$9,MATCH(ROUNDUP((Y$1)/10,0)*10,[1]Hugst!$R$4:$W$4,0))))</f>
        <v>609.96994991123665</v>
      </c>
      <c r="Z248">
        <f ca="1">IF($C248-Z$1&lt;År1,0,Y247*(1-VLOOKUP($A248,[1]Hugst!$R$5:$W$9,MATCH(ROUNDUP((Z$1)/10,0)*10,[1]Hugst!$R$4:$W$4,0))))</f>
        <v>609.19975165562596</v>
      </c>
      <c r="AA248">
        <f ca="1">IF($C248-AA$1&lt;År1,0,Z247*(1-VLOOKUP($A248,[1]Hugst!$R$5:$W$9,MATCH(ROUNDUP((AA$1)/10,0)*10,[1]Hugst!$R$4:$W$4,0))))</f>
        <v>609.79995195793606</v>
      </c>
      <c r="AB248">
        <f ca="1">IF($C248-AB$1&lt;År1,0,AA247*(1-VLOOKUP($A248,[1]Hugst!$R$5:$W$9,MATCH(ROUNDUP((AB$1)/10,0)*10,[1]Hugst!$R$4:$W$4,0))))</f>
        <v>610.40452349919929</v>
      </c>
      <c r="AC248">
        <f ca="1">IF($C248-AC$1&lt;År1,0,AB247*(1-VLOOKUP($A248,[1]Hugst!$R$5:$W$9,MATCH(ROUNDUP((AC$1)/10,0)*10,[1]Hugst!$R$4:$W$4,0))))</f>
        <v>611.01348033816055</v>
      </c>
      <c r="AD248">
        <f ca="1">IF($C248-AD$1&lt;År1,0,AC247*(1-VLOOKUP($A248,[1]Hugst!$R$5:$W$9,MATCH(ROUNDUP((AD$1)/10,0)*10,[1]Hugst!$R$4:$W$4,0))))</f>
        <v>611.6268365900188</v>
      </c>
      <c r="AE248">
        <f ca="1">IF($C248-AE$1&lt;År1,0,AD247*(1-VLOOKUP($A248,[1]Hugst!$R$5:$W$9,MATCH(ROUNDUP((AE$1)/10,0)*10,[1]Hugst!$R$4:$W$4,0))))</f>
        <v>612.24460642679537</v>
      </c>
      <c r="AF248">
        <f ca="1">IF($C248-AF$1&lt;År1,0,AE247*(1-VLOOKUP($A248,[1]Hugst!$R$5:$W$9,MATCH(ROUNDUP((AF$1)/10,0)*10,[1]Hugst!$R$4:$W$4,0))))</f>
        <v>612.86680407738879</v>
      </c>
      <c r="AG248">
        <f ca="1">IF($C248-AG$1&lt;År1,0,AF247*(1-VLOOKUP($A248,[1]Hugst!$R$5:$W$9,MATCH(ROUNDUP((AG$1)/10,0)*10,[1]Hugst!$R$4:$W$4,0))))</f>
        <v>613.49344382791435</v>
      </c>
      <c r="AH248">
        <f ca="1">IF($C248-AH$1&lt;År1,0,AG247*(1-VLOOKUP($A248,[1]Hugst!$R$5:$W$9,MATCH(ROUNDUP((AH$1)/10,0)*10,[1]Hugst!$R$4:$W$4,0))))</f>
        <v>614.12454002181175</v>
      </c>
      <c r="AI248">
        <f ca="1">IF($C248-AI$1&lt;År1,0,AH247*(1-VLOOKUP($A248,[1]Hugst!$R$5:$W$9,MATCH(ROUNDUP((AI$1)/10,0)*10,[1]Hugst!$R$4:$W$4,0))))</f>
        <v>614.76010706014131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25.766470631497214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821.67276882237286</v>
      </c>
      <c r="G249">
        <f ca="1">IF($C249-G$1&lt;År1,0,F248*(1-VLOOKUP($A249,[1]Hugst!$R$5:$W$9,MATCH(ROUNDUP((G$1)/10,0)*10,[1]Hugst!$R$4:$W$4,0))))</f>
        <v>822.08491735995278</v>
      </c>
      <c r="H249">
        <f ca="1">IF($C249-H$1&lt;År1,0,G248*(1-VLOOKUP($A249,[1]Hugst!$R$5:$W$9,MATCH(ROUNDUP((H$1)/10,0)*10,[1]Hugst!$R$4:$W$4,0))))</f>
        <v>822.16279931517522</v>
      </c>
      <c r="I249">
        <f ca="1">IF($C249-I$1&lt;År1,0,H248*(1-VLOOKUP($A249,[1]Hugst!$R$5:$W$9,MATCH(ROUNDUP((I$1)/10,0)*10,[1]Hugst!$R$4:$W$4,0))))</f>
        <v>822.24647977804045</v>
      </c>
      <c r="J249">
        <f ca="1">IF($C249-J$1&lt;År1,0,I248*(1-VLOOKUP($A249,[1]Hugst!$R$5:$W$9,MATCH(ROUNDUP((J$1)/10,0)*10,[1]Hugst!$R$4:$W$4,0))))</f>
        <v>822.33599697519469</v>
      </c>
      <c r="K249">
        <f ca="1">IF($C249-K$1&lt;År1,0,J248*(1-VLOOKUP($A249,[1]Hugst!$R$5:$W$9,MATCH(ROUNDUP((K$1)/10,0)*10,[1]Hugst!$R$4:$W$4,0))))</f>
        <v>822.43138934022147</v>
      </c>
      <c r="L249">
        <f ca="1">IF($C249-L$1&lt;År1,0,K248*(1-VLOOKUP($A249,[1]Hugst!$R$5:$W$9,MATCH(ROUNDUP((L$1)/10,0)*10,[1]Hugst!$R$4:$W$4,0))))</f>
        <v>822.53269551489041</v>
      </c>
      <c r="M249">
        <f ca="1">IF($C249-M$1&lt;År1,0,L248*(1-VLOOKUP($A249,[1]Hugst!$R$5:$W$9,MATCH(ROUNDUP((M$1)/10,0)*10,[1]Hugst!$R$4:$W$4,0))))</f>
        <v>822.63995435006939</v>
      </c>
      <c r="N249">
        <f ca="1">IF($C249-N$1&lt;År1,0,M248*(1-VLOOKUP($A249,[1]Hugst!$R$5:$W$9,MATCH(ROUNDUP((N$1)/10,0)*10,[1]Hugst!$R$4:$W$4,0))))</f>
        <v>822.75320490685147</v>
      </c>
      <c r="O249">
        <f ca="1">IF($C249-O$1&lt;År1,0,N248*(1-VLOOKUP($A249,[1]Hugst!$R$5:$W$9,MATCH(ROUNDUP((O$1)/10,0)*10,[1]Hugst!$R$4:$W$4,0))))</f>
        <v>822.87248645764532</v>
      </c>
      <c r="P249">
        <f ca="1">IF($C249-P$1&lt;År1,0,O248*(1-VLOOKUP($A249,[1]Hugst!$R$5:$W$9,MATCH(ROUNDUP((P$1)/10,0)*10,[1]Hugst!$R$4:$W$4,0))))</f>
        <v>821.19125786617985</v>
      </c>
      <c r="Q249">
        <f ca="1">IF($C249-Q$1&lt;År1,0,P248*(1-VLOOKUP($A249,[1]Hugst!$R$5:$W$9,MATCH(ROUNDUP((Q$1)/10,0)*10,[1]Hugst!$R$4:$W$4,0))))</f>
        <v>819.95709762644753</v>
      </c>
      <c r="R249">
        <f ca="1">IF($C249-R$1&lt;År1,0,Q248*(1-VLOOKUP($A249,[1]Hugst!$R$5:$W$9,MATCH(ROUNDUP((R$1)/10,0)*10,[1]Hugst!$R$4:$W$4,0))))</f>
        <v>818.1248940474901</v>
      </c>
      <c r="S249">
        <f ca="1">IF($C249-S$1&lt;År1,0,R248*(1-VLOOKUP($A249,[1]Hugst!$R$5:$W$9,MATCH(ROUNDUP((S$1)/10,0)*10,[1]Hugst!$R$4:$W$4,0))))</f>
        <v>816.2973769204591</v>
      </c>
      <c r="T249">
        <f ca="1">IF($C249-T$1&lt;År1,0,S248*(1-VLOOKUP($A249,[1]Hugst!$R$5:$W$9,MATCH(ROUNDUP((T$1)/10,0)*10,[1]Hugst!$R$4:$W$4,0))))</f>
        <v>814.47453783135484</v>
      </c>
      <c r="U249">
        <f ca="1">IF($C249-U$1&lt;År1,0,T248*(1-VLOOKUP($A249,[1]Hugst!$R$5:$W$9,MATCH(ROUNDUP((U$1)/10,0)*10,[1]Hugst!$R$4:$W$4,0))))</f>
        <v>812.65636838994112</v>
      </c>
      <c r="V249">
        <f ca="1">IF($C249-V$1&lt;År1,0,U248*(1-VLOOKUP($A249,[1]Hugst!$R$5:$W$9,MATCH(ROUNDUP((V$1)/10,0)*10,[1]Hugst!$R$4:$W$4,0))))</f>
        <v>810.84286022963431</v>
      </c>
      <c r="W249">
        <f ca="1">IF($C249-W$1&lt;År1,0,V248*(1-VLOOKUP($A249,[1]Hugst!$R$5:$W$9,MATCH(ROUNDUP((W$1)/10,0)*10,[1]Hugst!$R$4:$W$4,0))))</f>
        <v>809.03400500759369</v>
      </c>
      <c r="X249">
        <f ca="1">IF($C249-X$1&lt;År1,0,W248*(1-VLOOKUP($A249,[1]Hugst!$R$5:$W$9,MATCH(ROUNDUP((X$1)/10,0)*10,[1]Hugst!$R$4:$W$4,0))))</f>
        <v>807.22979440458892</v>
      </c>
      <c r="Y249">
        <f ca="1">IF($C249-Y$1&lt;År1,0,X248*(1-VLOOKUP($A249,[1]Hugst!$R$5:$W$9,MATCH(ROUNDUP((Y$1)/10,0)*10,[1]Hugst!$R$4:$W$4,0))))</f>
        <v>805.43022012497283</v>
      </c>
      <c r="Z249">
        <f ca="1">IF($C249-Z$1&lt;År1,0,Y248*(1-VLOOKUP($A249,[1]Hugst!$R$5:$W$9,MATCH(ROUNDUP((Z$1)/10,0)*10,[1]Hugst!$R$4:$W$4,0))))</f>
        <v>609.22608411866202</v>
      </c>
      <c r="AA249">
        <f ca="1">IF($C249-AA$1&lt;År1,0,Z248*(1-VLOOKUP($A249,[1]Hugst!$R$5:$W$9,MATCH(ROUNDUP((AA$1)/10,0)*10,[1]Hugst!$R$4:$W$4,0))))</f>
        <v>608.45682512921667</v>
      </c>
      <c r="AB249">
        <f ca="1">IF($C249-AB$1&lt;År1,0,AA248*(1-VLOOKUP($A249,[1]Hugst!$R$5:$W$9,MATCH(ROUNDUP((AB$1)/10,0)*10,[1]Hugst!$R$4:$W$4,0))))</f>
        <v>609.05629347993863</v>
      </c>
      <c r="AC249">
        <f ca="1">IF($C249-AC$1&lt;År1,0,AB248*(1-VLOOKUP($A249,[1]Hugst!$R$5:$W$9,MATCH(ROUNDUP((AC$1)/10,0)*10,[1]Hugst!$R$4:$W$4,0))))</f>
        <v>609.66012773883438</v>
      </c>
      <c r="AD249">
        <f ca="1">IF($C249-AD$1&lt;År1,0,AC248*(1-VLOOKUP($A249,[1]Hugst!$R$5:$W$9,MATCH(ROUNDUP((AD$1)/10,0)*10,[1]Hugst!$R$4:$W$4,0))))</f>
        <v>610.26834194750427</v>
      </c>
      <c r="AE249">
        <f ca="1">IF($C249-AE$1&lt;År1,0,AD248*(1-VLOOKUP($A249,[1]Hugst!$R$5:$W$9,MATCH(ROUNDUP((AE$1)/10,0)*10,[1]Hugst!$R$4:$W$4,0))))</f>
        <v>610.88095020393337</v>
      </c>
      <c r="AF249">
        <f ca="1">IF($C249-AF$1&lt;År1,0,AE248*(1-VLOOKUP($A249,[1]Hugst!$R$5:$W$9,MATCH(ROUNDUP((AF$1)/10,0)*10,[1]Hugst!$R$4:$W$4,0))))</f>
        <v>611.49796666286022</v>
      </c>
      <c r="AG249">
        <f ca="1">IF($C249-AG$1&lt;År1,0,AF248*(1-VLOOKUP($A249,[1]Hugst!$R$5:$W$9,MATCH(ROUNDUP((AG$1)/10,0)*10,[1]Hugst!$R$4:$W$4,0))))</f>
        <v>612.11940553583099</v>
      </c>
      <c r="AH249">
        <f ca="1">IF($C249-AH$1&lt;År1,0,AG248*(1-VLOOKUP($A249,[1]Hugst!$R$5:$W$9,MATCH(ROUNDUP((AH$1)/10,0)*10,[1]Hugst!$R$4:$W$4,0))))</f>
        <v>612.7452810915388</v>
      </c>
      <c r="AI249">
        <f ca="1">IF($C249-AI$1&lt;År1,0,AH248*(1-VLOOKUP($A249,[1]Hugst!$R$5:$W$9,MATCH(ROUNDUP((AI$1)/10,0)*10,[1]Hugst!$R$4:$W$4,0))))</f>
        <v>613.3756076559315</v>
      </c>
      <c r="AJ249">
        <f ca="1">IF($C249-AJ$1&lt;År1,0,AI248*(1-VLOOKUP($A249,[1]Hugst!$R$5:$W$9,MATCH(ROUNDUP((AJ$1)/10,0)*10,[1]Hugst!$R$4:$W$4,0))))</f>
        <v>614.34776796394249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5" t="s">
        <v>271</v>
      </c>
      <c r="F1" s="73"/>
    </row>
    <row r="2" spans="1:7" s="298" customFormat="1" x14ac:dyDescent="0.25">
      <c r="A2" s="297"/>
      <c r="C2" s="414" t="s">
        <v>317</v>
      </c>
      <c r="D2" s="414"/>
      <c r="E2" s="414"/>
    </row>
    <row r="3" spans="1:7" x14ac:dyDescent="0.25">
      <c r="B3" s="302"/>
      <c r="C3" s="2">
        <f>År1</f>
        <v>2019</v>
      </c>
      <c r="D3" s="2">
        <f>År2</f>
        <v>2030</v>
      </c>
      <c r="E3" s="2">
        <f>År3</f>
        <v>2050</v>
      </c>
      <c r="F3" s="303" t="s">
        <v>318</v>
      </c>
      <c r="G3" s="1" t="s">
        <v>314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>C4</f>
        <v>2.9353333333333332E-3</v>
      </c>
      <c r="E4" s="3">
        <f>D4</f>
        <v>2.9353333333333332E-3</v>
      </c>
      <c r="F4" s="299">
        <v>150000</v>
      </c>
      <c r="G4" s="415"/>
    </row>
    <row r="5" spans="1:7" x14ac:dyDescent="0.25">
      <c r="A5" s="102" t="s">
        <v>98</v>
      </c>
      <c r="B5" s="2" t="s">
        <v>24</v>
      </c>
      <c r="C5" s="300">
        <f>(0.6)/F5</f>
        <v>1.2E-5</v>
      </c>
      <c r="D5" s="3">
        <f t="shared" ref="D5:E5" si="0">C5</f>
        <v>1.2E-5</v>
      </c>
      <c r="E5" s="3">
        <f t="shared" si="0"/>
        <v>1.2E-5</v>
      </c>
      <c r="F5" s="104">
        <v>50000</v>
      </c>
      <c r="G5" s="415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ref="D6:E6" si="1">C6</f>
        <v>3.6170212765957447E-4</v>
      </c>
      <c r="E6" s="3">
        <f t="shared" si="1"/>
        <v>3.6170212765957447E-4</v>
      </c>
      <c r="F6" s="299">
        <v>47000</v>
      </c>
      <c r="G6" s="416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ref="D7:E7" si="2">C7</f>
        <v>0</v>
      </c>
      <c r="E7" s="3">
        <f t="shared" si="2"/>
        <v>0</v>
      </c>
      <c r="F7" s="299">
        <v>20000</v>
      </c>
      <c r="G7" s="416"/>
    </row>
    <row r="8" spans="1:7" x14ac:dyDescent="0.25">
      <c r="A8" s="296"/>
      <c r="C8" s="1" t="s">
        <v>240</v>
      </c>
      <c r="F8" s="73"/>
    </row>
    <row r="9" spans="1:7" x14ac:dyDescent="0.25">
      <c r="A9" s="296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 t="shared" ref="C12:D12" si="3">D4*$F4</f>
        <v>440.29999999999995</v>
      </c>
      <c r="D12" s="1">
        <f t="shared" si="3"/>
        <v>440.29999999999995</v>
      </c>
      <c r="E12" s="1">
        <f>C5*$F$5</f>
        <v>0.6</v>
      </c>
      <c r="F12" s="1">
        <f t="shared" ref="F12:G12" si="4">D5*$F$5</f>
        <v>0.6</v>
      </c>
      <c r="G12" s="1">
        <f t="shared" si="4"/>
        <v>0.6</v>
      </c>
    </row>
    <row r="13" spans="1:7" x14ac:dyDescent="0.25">
      <c r="A13" s="102" t="s">
        <v>99</v>
      </c>
      <c r="B13" s="1">
        <f>C6*$F6</f>
        <v>17</v>
      </c>
      <c r="C13" s="1">
        <f t="shared" ref="C13:D13" si="5">D6*$F6</f>
        <v>17</v>
      </c>
      <c r="D13" s="1">
        <f t="shared" si="5"/>
        <v>17</v>
      </c>
      <c r="E13" s="1">
        <f>C7*$F$7</f>
        <v>0</v>
      </c>
      <c r="F13" s="1">
        <f t="shared" ref="F13:G13" si="6">D7*$F$7</f>
        <v>0</v>
      </c>
      <c r="G13" s="1">
        <f t="shared" si="6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5" t="s">
        <v>271</v>
      </c>
    </row>
    <row r="2" spans="1:10" ht="15.75" x14ac:dyDescent="0.25">
      <c r="A2" s="203" t="s">
        <v>25</v>
      </c>
    </row>
    <row r="3" spans="1:10" x14ac:dyDescent="0.25">
      <c r="A3" s="6" t="s">
        <v>301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221734.27469450119</v>
      </c>
      <c r="J5" s="10">
        <f>SUMIFS('Resultat-Produktion &amp; forbrug'!$O$4:$O$1001,'Resultat-Produktion &amp; forbrug'!$A$4:$A$1001,Adfærd!$G5,'Resultat-Produktion &amp; forbrug'!$E$4:$E$1001,Adfærd!J$4)</f>
        <v>210893.10462341903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 t="shared" ref="F6:F7" si="0"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 t="shared" si="0"/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382.5</v>
      </c>
      <c r="J7" s="10">
        <f>SUMIFS('Resultat-Produktion &amp; forbrug'!$O$4:$O$1001,'Resultat-Produktion &amp; forbrug'!$A$4:$A$1001,Adfærd!$G7,'Resultat-Produktion &amp; forbrug'!$E$4:$E$1001,Adfærd!J$4)</f>
        <v>382.5</v>
      </c>
    </row>
    <row r="8" spans="1:10" x14ac:dyDescent="0.25">
      <c r="A8" s="2" t="s">
        <v>206</v>
      </c>
      <c r="B8" s="84">
        <v>0</v>
      </c>
      <c r="C8" s="3"/>
      <c r="D8" s="3"/>
    </row>
    <row r="9" spans="1:10" x14ac:dyDescent="0.25">
      <c r="A9" s="1" t="s">
        <v>221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 t="shared" ref="C22:D22" si="1">SUM($B$20:$B$21,$B$27)*C5</f>
        <v>0</v>
      </c>
      <c r="D22" s="108">
        <f t="shared" si="1"/>
        <v>0</v>
      </c>
      <c r="F22" s="1" t="s">
        <v>205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2">SUM($B$20:$B$21,$B$27)*C6</f>
        <v>0</v>
      </c>
      <c r="D23" s="108">
        <f t="shared" si="2"/>
        <v>0</v>
      </c>
      <c r="F23" s="1" t="s">
        <v>207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2"/>
        <v>0</v>
      </c>
      <c r="D24" s="108">
        <f t="shared" si="2"/>
        <v>0</v>
      </c>
    </row>
    <row r="25" spans="1:9" hidden="1" x14ac:dyDescent="0.25">
      <c r="A25" s="2" t="s">
        <v>206</v>
      </c>
      <c r="B25" s="108">
        <f>SUM($B$20:$B$21,$B$27)*B8</f>
        <v>0</v>
      </c>
      <c r="C25" s="108">
        <f t="shared" si="2"/>
        <v>0</v>
      </c>
      <c r="D25" s="108">
        <f t="shared" si="2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8" t="s">
        <v>30</v>
      </c>
      <c r="B31" s="287">
        <f>SUM(B17:B30)</f>
        <v>1267</v>
      </c>
      <c r="C31" s="287">
        <f>SUM(C17:C30)</f>
        <v>1267</v>
      </c>
      <c r="D31" s="287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0" sqref="F20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4" t="s">
        <v>271</v>
      </c>
    </row>
    <row r="2" spans="1:29" ht="46.5" customHeight="1" x14ac:dyDescent="0.2">
      <c r="A2" s="208" t="s">
        <v>138</v>
      </c>
      <c r="B2" s="208">
        <f>År1</f>
        <v>2019</v>
      </c>
      <c r="C2" s="208">
        <f>År2</f>
        <v>2030</v>
      </c>
      <c r="D2" s="208">
        <f>År3</f>
        <v>2050</v>
      </c>
      <c r="E2" s="113"/>
      <c r="F2" s="420" t="s">
        <v>324</v>
      </c>
      <c r="G2" s="421"/>
      <c r="M2" s="113"/>
      <c r="Z2" s="320" t="s">
        <v>150</v>
      </c>
      <c r="AA2" s="208">
        <f>År1</f>
        <v>2019</v>
      </c>
      <c r="AB2" s="208">
        <f>År2</f>
        <v>2030</v>
      </c>
      <c r="AC2" s="208">
        <f>År3</f>
        <v>2050</v>
      </c>
    </row>
    <row r="3" spans="1:29" x14ac:dyDescent="0.2">
      <c r="A3" s="161" t="s">
        <v>135</v>
      </c>
      <c r="B3" s="209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4"/>
      <c r="Z3" s="161" t="s">
        <v>110</v>
      </c>
      <c r="AA3" s="209">
        <f>SUM(C12:C14)/SUM(C12:C15)</f>
        <v>0.73155031690147754</v>
      </c>
      <c r="AB3" s="209">
        <f>SUM(D12:D14)/SUM(D12:D15)</f>
        <v>0.8068119346222018</v>
      </c>
      <c r="AC3" s="209">
        <f>SUM(E12:E14)/SUM(E12:E15)</f>
        <v>0.78911321116899646</v>
      </c>
    </row>
    <row r="4" spans="1:29" x14ac:dyDescent="0.2">
      <c r="A4" s="161" t="s">
        <v>136</v>
      </c>
      <c r="B4" s="209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4"/>
      <c r="Z4" s="208" t="s">
        <v>202</v>
      </c>
      <c r="AA4" s="161"/>
      <c r="AB4" s="161"/>
      <c r="AC4" s="161"/>
    </row>
    <row r="5" spans="1:29" x14ac:dyDescent="0.2">
      <c r="A5" s="161" t="s">
        <v>137</v>
      </c>
      <c r="B5" s="209">
        <v>0.5</v>
      </c>
      <c r="C5" s="162">
        <v>0.75</v>
      </c>
      <c r="D5" s="162">
        <v>0.9</v>
      </c>
      <c r="E5" s="134"/>
      <c r="F5" s="155"/>
      <c r="G5" s="156"/>
      <c r="N5" s="224"/>
      <c r="Z5" s="161" t="s">
        <v>135</v>
      </c>
      <c r="AA5" s="321">
        <f t="shared" ref="AA5:AC6" si="0">C12/C$29</f>
        <v>0.22267199142680771</v>
      </c>
      <c r="AB5" s="321">
        <f t="shared" si="0"/>
        <v>0.39645373789996108</v>
      </c>
      <c r="AC5" s="321">
        <f t="shared" si="0"/>
        <v>0.36928693081137037</v>
      </c>
    </row>
    <row r="6" spans="1:29" x14ac:dyDescent="0.2">
      <c r="A6" s="161" t="s">
        <v>140</v>
      </c>
      <c r="B6" s="209">
        <f>N15/SUMIFS('Resultater - Danmark'!H$3:H$504,'Resultater - Danmark'!$F$3:$F$504,$A6)</f>
        <v>0.37924884410556858</v>
      </c>
      <c r="C6" s="162">
        <v>0.75</v>
      </c>
      <c r="D6" s="162">
        <v>0.9</v>
      </c>
      <c r="E6" s="134"/>
      <c r="F6" s="155"/>
      <c r="G6" s="156"/>
      <c r="Z6" s="161" t="s">
        <v>136</v>
      </c>
      <c r="AA6" s="321">
        <f t="shared" si="0"/>
        <v>0.33257225498473725</v>
      </c>
      <c r="AB6" s="321">
        <f t="shared" si="0"/>
        <v>0.33118846318466977</v>
      </c>
      <c r="AC6" s="321">
        <f t="shared" si="0"/>
        <v>0.33872867269452439</v>
      </c>
    </row>
    <row r="7" spans="1:29" x14ac:dyDescent="0.2">
      <c r="A7" s="161" t="s">
        <v>101</v>
      </c>
      <c r="B7" s="209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208</v>
      </c>
      <c r="B8" s="209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18" t="s">
        <v>210</v>
      </c>
      <c r="D10" s="418"/>
      <c r="E10" s="418"/>
      <c r="F10" s="417" t="s">
        <v>325</v>
      </c>
      <c r="G10" s="417"/>
      <c r="J10" s="419" t="s">
        <v>211</v>
      </c>
      <c r="K10" s="419"/>
      <c r="L10" s="419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12485034.123782061</v>
      </c>
      <c r="E12" s="118">
        <f>SUMIFS('Resultater - Danmark'!J$3:J$504,'Resultater - Danmark'!$F$3:$F$504,$A12)*D3</f>
        <v>13384026.259465635</v>
      </c>
      <c r="F12" s="217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4161678.0412606858</v>
      </c>
      <c r="G12" s="217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1487114.028829515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0.39645373789996108</v>
      </c>
      <c r="L12" s="119">
        <f t="shared" ref="L12:L28" si="3">E12/E$29</f>
        <v>0.36928693081137037</v>
      </c>
      <c r="M12" s="114" t="s">
        <v>212</v>
      </c>
      <c r="N12" s="114">
        <f>S12+2/3*T12</f>
        <v>2914869.3333333335</v>
      </c>
      <c r="O12" s="136">
        <f t="shared" ref="O12:O16" si="4"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10429714.413001494</v>
      </c>
      <c r="E13" s="121">
        <f>SUMIFS('Resultater - Danmark'!J$3:J$504,'Resultater - Danmark'!$F$3:$F$504,$A13)*D4</f>
        <v>12276506.618354082</v>
      </c>
      <c r="F13" s="218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3476571.4710004963</v>
      </c>
      <c r="G13" s="218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1364056.2909282297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0.33118846318466977</v>
      </c>
      <c r="L13" s="122">
        <f t="shared" si="3"/>
        <v>0.33872867269452439</v>
      </c>
      <c r="M13" s="114" t="s">
        <v>213</v>
      </c>
      <c r="N13" s="114">
        <f>S13+1/3*T13</f>
        <v>4353509.666666667</v>
      </c>
      <c r="O13" s="136">
        <f t="shared" si="4"/>
        <v>0</v>
      </c>
      <c r="P13" s="115">
        <f t="shared" ref="P13:P28" si="5">C13*I13</f>
        <v>61384486.300000004</v>
      </c>
      <c r="Q13" s="114">
        <f t="shared" ref="Q13:Q28" si="6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6782.1960455237531</v>
      </c>
      <c r="E14" s="121">
        <f>SUMIFS('Resultater - Danmark'!J$3:J$504,'Resultater - Danmark'!$F$3:$F$504,$A14)*D5</f>
        <v>8404.7671078658786</v>
      </c>
      <c r="F14" s="218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2260.7320151745844</v>
      </c>
      <c r="G14" s="218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933.86301198509682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2.1536400675881427E-4</v>
      </c>
      <c r="L14" s="122">
        <f t="shared" si="3"/>
        <v>2.3190111774123702E-4</v>
      </c>
      <c r="M14" s="114" t="s">
        <v>145</v>
      </c>
      <c r="N14" s="115">
        <v>11417</v>
      </c>
      <c r="O14" s="136">
        <f t="shared" si="4"/>
        <v>6975.5</v>
      </c>
      <c r="P14" s="115">
        <f t="shared" si="5"/>
        <v>58183.65</v>
      </c>
      <c r="Q14" s="114">
        <f t="shared" si="6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5488473.8162016999</v>
      </c>
      <c r="E15" s="121">
        <f>SUMIFS('Resultater - Danmark'!J$3:J$504,'Resultater - Danmark'!$F$3:$F$504,$A15)*D6</f>
        <v>6859902.6806595214</v>
      </c>
      <c r="F15" s="218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1829491.2720672339</v>
      </c>
      <c r="G15" s="218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762211.40896216873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0.17428274029739535</v>
      </c>
      <c r="L15" s="122">
        <f t="shared" si="3"/>
        <v>0.18927580964762611</v>
      </c>
      <c r="M15" s="124" t="s">
        <v>291</v>
      </c>
      <c r="N15" s="125">
        <f>SUM(S15:Z15)</f>
        <v>2668834</v>
      </c>
      <c r="O15" s="136">
        <f t="shared" si="4"/>
        <v>0</v>
      </c>
      <c r="P15" s="115">
        <f>C15*I15</f>
        <v>37096792.600000001</v>
      </c>
      <c r="Q15" s="114">
        <f t="shared" si="6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2189034.0302520017</v>
      </c>
      <c r="E16" s="121">
        <f>SUMIFS('Resultater - Danmark'!J$3:J$504,'Resultater - Danmark'!$F$3:$F$504,$A16)*D7</f>
        <v>2591309.4281481998</v>
      </c>
      <c r="F16" s="218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729678.01008400088</v>
      </c>
      <c r="G16" s="218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287923.26979424478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6.9511281673672085E-2</v>
      </c>
      <c r="L16" s="122">
        <f t="shared" si="3"/>
        <v>7.1498418110666664E-2</v>
      </c>
      <c r="M16" s="222" t="s">
        <v>156</v>
      </c>
      <c r="N16" s="223">
        <v>757087</v>
      </c>
      <c r="O16" s="136">
        <f t="shared" si="4"/>
        <v>0</v>
      </c>
      <c r="P16" s="115">
        <f t="shared" si="5"/>
        <v>45425220</v>
      </c>
      <c r="Q16" s="114">
        <f t="shared" si="6"/>
        <v>1.6307653980000001</v>
      </c>
    </row>
    <row r="17" spans="1:23" x14ac:dyDescent="0.2">
      <c r="A17" s="114" t="s">
        <v>208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0</v>
      </c>
      <c r="E17" s="121">
        <f>SUMIFS('Resultater - Danmark'!J$3:J$504,'Resultater - Danmark'!$F$3:$F$504,$A17)*D8</f>
        <v>0</v>
      </c>
      <c r="F17" s="218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0</v>
      </c>
      <c r="G17" s="218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0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</v>
      </c>
      <c r="L17" s="122">
        <f t="shared" si="3"/>
        <v>0</v>
      </c>
      <c r="M17" s="114" t="s">
        <v>149</v>
      </c>
      <c r="N17" s="115"/>
      <c r="O17" s="136"/>
      <c r="P17" s="115">
        <f t="shared" si="5"/>
        <v>0</v>
      </c>
      <c r="Q17" s="114">
        <f t="shared" si="6"/>
        <v>0</v>
      </c>
    </row>
    <row r="18" spans="1:23" x14ac:dyDescent="0.2">
      <c r="A18" s="114" t="s">
        <v>102</v>
      </c>
      <c r="B18" s="114" t="s">
        <v>139</v>
      </c>
      <c r="C18" s="225">
        <f t="shared" ref="C18" si="7">N18</f>
        <v>729134</v>
      </c>
      <c r="D18" s="226"/>
      <c r="E18" s="226"/>
      <c r="F18" s="218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8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5">
        <f>N19</f>
        <v>995654</v>
      </c>
      <c r="D19" s="226"/>
      <c r="E19" s="226"/>
      <c r="F19" s="218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718058.01774869044</v>
      </c>
      <c r="G19" s="218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700822.02997791977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5">
        <f>N20</f>
        <v>75934</v>
      </c>
      <c r="D20" s="226"/>
      <c r="E20" s="226"/>
      <c r="F20" s="218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3440673.5939957341</v>
      </c>
      <c r="G20" s="218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3943177.206576284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8">N20-C20</f>
        <v>0</v>
      </c>
      <c r="P20" s="115">
        <f t="shared" si="5"/>
        <v>12195000.4</v>
      </c>
      <c r="Q20" s="114">
        <f t="shared" si="6"/>
        <v>0.43780051436</v>
      </c>
    </row>
    <row r="21" spans="1:23" x14ac:dyDescent="0.2">
      <c r="A21" s="114" t="s">
        <v>48</v>
      </c>
      <c r="B21" s="114" t="s">
        <v>139</v>
      </c>
      <c r="C21" s="225">
        <f t="shared" ref="C21:C28" si="9">N21</f>
        <v>3786</v>
      </c>
      <c r="D21" s="226"/>
      <c r="E21" s="226"/>
      <c r="F21" s="218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2389282.9756574859</v>
      </c>
      <c r="G21" s="218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2313891.3389375587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8"/>
        <v>0</v>
      </c>
      <c r="P21" s="115">
        <f t="shared" si="5"/>
        <v>361184.4</v>
      </c>
      <c r="Q21" s="114">
        <f t="shared" si="6"/>
        <v>1.2966519960000001E-2</v>
      </c>
    </row>
    <row r="22" spans="1:23" x14ac:dyDescent="0.2">
      <c r="A22" s="114" t="s">
        <v>51</v>
      </c>
      <c r="B22" s="114" t="s">
        <v>139</v>
      </c>
      <c r="C22" s="225">
        <f t="shared" si="9"/>
        <v>85677</v>
      </c>
      <c r="D22" s="226"/>
      <c r="E22" s="226"/>
      <c r="F22" s="218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4574065.4754918609</v>
      </c>
      <c r="G22" s="218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2982756.1787720937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292</v>
      </c>
      <c r="N22" s="148">
        <f>SUM(S22:Z22)</f>
        <v>85677</v>
      </c>
      <c r="O22" s="136">
        <f t="shared" si="8"/>
        <v>0</v>
      </c>
      <c r="P22" s="115">
        <f t="shared" si="5"/>
        <v>4390946.25</v>
      </c>
      <c r="Q22" s="114">
        <f t="shared" si="6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5">
        <f t="shared" si="9"/>
        <v>330026</v>
      </c>
      <c r="D23" s="226"/>
      <c r="E23" s="226"/>
      <c r="F23" s="218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2001163.0190917291</v>
      </c>
      <c r="G23" s="218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1964071.9525106084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8"/>
        <v>0</v>
      </c>
      <c r="P23" s="115">
        <f t="shared" si="5"/>
        <v>33002600</v>
      </c>
      <c r="Q23" s="114">
        <f t="shared" si="6"/>
        <v>1.1847933399999999</v>
      </c>
    </row>
    <row r="24" spans="1:23" x14ac:dyDescent="0.2">
      <c r="A24" s="114" t="s">
        <v>52</v>
      </c>
      <c r="B24" s="114" t="s">
        <v>139</v>
      </c>
      <c r="C24" s="225">
        <f t="shared" si="9"/>
        <v>28645</v>
      </c>
      <c r="D24" s="226"/>
      <c r="E24" s="226"/>
      <c r="F24" s="218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1794004.450102187</v>
      </c>
      <c r="G24" s="218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1830597.0172306283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8"/>
        <v>0</v>
      </c>
      <c r="P24" s="115">
        <f t="shared" si="5"/>
        <v>2165562</v>
      </c>
      <c r="Q24" s="114">
        <f t="shared" si="6"/>
        <v>7.7743675799999995E-2</v>
      </c>
    </row>
    <row r="25" spans="1:23" x14ac:dyDescent="0.2">
      <c r="A25" s="114" t="s">
        <v>162</v>
      </c>
      <c r="B25" s="114" t="s">
        <v>139</v>
      </c>
      <c r="C25" s="225">
        <f t="shared" si="9"/>
        <v>78</v>
      </c>
      <c r="D25" s="226">
        <v>750000</v>
      </c>
      <c r="E25" s="226">
        <v>980000</v>
      </c>
      <c r="F25" s="218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232809</v>
      </c>
      <c r="G25" s="218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2.381573814512717E-2</v>
      </c>
      <c r="L25" s="122">
        <f t="shared" si="3"/>
        <v>2.7039784977946693E-2</v>
      </c>
      <c r="M25" s="114" t="s">
        <v>163</v>
      </c>
      <c r="N25" s="115">
        <v>78</v>
      </c>
      <c r="O25" s="136">
        <f t="shared" si="8"/>
        <v>0</v>
      </c>
      <c r="P25" s="115">
        <f t="shared" si="5"/>
        <v>3689.3999999999996</v>
      </c>
      <c r="Q25" s="114">
        <f t="shared" si="6"/>
        <v>1.3244945999999998E-4</v>
      </c>
    </row>
    <row r="26" spans="1:23" x14ac:dyDescent="0.2">
      <c r="A26" s="114" t="s">
        <v>158</v>
      </c>
      <c r="B26" s="114" t="s">
        <v>139</v>
      </c>
      <c r="C26" s="225">
        <f t="shared" si="9"/>
        <v>142742</v>
      </c>
      <c r="D26" s="226">
        <f>C26</f>
        <v>142742</v>
      </c>
      <c r="E26" s="226">
        <f>C26</f>
        <v>142742</v>
      </c>
      <c r="F26" s="218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-142742</v>
      </c>
      <c r="G26" s="218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-142742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4.532674792415657E-3</v>
      </c>
      <c r="L26" s="122">
        <f t="shared" si="3"/>
        <v>3.9384826401245585E-3</v>
      </c>
      <c r="M26" s="114" t="s">
        <v>161</v>
      </c>
      <c r="N26" s="114">
        <v>142742</v>
      </c>
      <c r="O26" s="136">
        <f t="shared" si="8"/>
        <v>0</v>
      </c>
      <c r="P26" s="115">
        <f t="shared" si="5"/>
        <v>60431253.120000005</v>
      </c>
      <c r="Q26" s="114">
        <f t="shared" si="6"/>
        <v>2.169481987008</v>
      </c>
    </row>
    <row r="27" spans="1:23" x14ac:dyDescent="0.2">
      <c r="A27" s="114" t="s">
        <v>106</v>
      </c>
      <c r="B27" s="114" t="s">
        <v>139</v>
      </c>
      <c r="C27" s="225">
        <f t="shared" si="9"/>
        <v>0</v>
      </c>
      <c r="D27" s="226"/>
      <c r="E27" s="226"/>
      <c r="F27" s="218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8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8"/>
        <v>0</v>
      </c>
      <c r="P27" s="115">
        <f t="shared" si="5"/>
        <v>0</v>
      </c>
      <c r="Q27" s="114">
        <f t="shared" si="6"/>
        <v>0</v>
      </c>
    </row>
    <row r="28" spans="1:23" ht="12.75" thickBot="1" x14ac:dyDescent="0.25">
      <c r="A28" s="126" t="s">
        <v>99</v>
      </c>
      <c r="B28" s="126" t="s">
        <v>139</v>
      </c>
      <c r="C28" s="227">
        <f t="shared" si="9"/>
        <v>0</v>
      </c>
      <c r="D28" s="228"/>
      <c r="E28" s="228"/>
      <c r="F28" s="219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382.5</v>
      </c>
      <c r="G28" s="219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8"/>
        <v>0</v>
      </c>
      <c r="P28" s="115">
        <f t="shared" si="5"/>
        <v>0</v>
      </c>
      <c r="Q28" s="114">
        <f t="shared" si="6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31491780.579282783</v>
      </c>
      <c r="E29" s="129">
        <f>SUM(E12:E28)</f>
        <v>36242891.753735304</v>
      </c>
      <c r="F29" s="129"/>
      <c r="G29" s="129"/>
      <c r="H29" s="130"/>
      <c r="I29" s="130"/>
      <c r="J29" s="131">
        <f>SUM(J12:J28)</f>
        <v>1</v>
      </c>
      <c r="K29" s="131">
        <f>SUM(K12:K28)</f>
        <v>0.99999999999999989</v>
      </c>
      <c r="L29" s="131">
        <f>SUM(L12:L28)</f>
        <v>1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8.7541055706116339E-2</v>
      </c>
      <c r="E30" s="133">
        <f>SUMPRODUCT(E12:E28,$H$12:$H$28)/E29</f>
        <v>8.8684979317323748E-2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600506310.45722592</v>
      </c>
      <c r="E32" s="114">
        <f>SUMPRODUCT(E12:E28,$I$12:$I$28)</f>
        <v>691433626.95155263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21.558176545414412</v>
      </c>
      <c r="E33" s="114">
        <f>E32*[1]Energiindhold!$C$10</f>
        <v>24.822467207560742</v>
      </c>
    </row>
    <row r="34" spans="1:15" x14ac:dyDescent="0.2">
      <c r="C34" s="229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10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10904939.805455904</v>
      </c>
      <c r="E39" s="118">
        <f>SUMIFS('Resultater - Vestdanmark'!J$3:J$504,'Resultater - Vestdanmark'!$F$3:$F$504,$A39)*D3</f>
        <v>11690156.331739446</v>
      </c>
      <c r="F39" s="119">
        <f>VLOOKUP(A39,[1]Biogasudbytte!$A$2:$C$18,3,FALSE)</f>
        <v>0.05</v>
      </c>
      <c r="G39" s="120">
        <f t="shared" ref="G39:G55" si="11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1580094.3183261557</v>
      </c>
      <c r="M39" s="118">
        <f>SUMIFS('Resultater - Østdanmark'!J$3:J$504,'Resultater - Østdanmark'!$F$3:$F$504,$A39)*D3</f>
        <v>1693869.9277261887</v>
      </c>
      <c r="N39" s="119">
        <f>VLOOKUP(I39,[1]Biogasudbytte!$A$2:$C$18,3,FALSE)</f>
        <v>0.05</v>
      </c>
      <c r="O39" s="120">
        <f t="shared" ref="O39:O55" si="12">I12</f>
        <v>12</v>
      </c>
    </row>
    <row r="40" spans="1:15" hidden="1" x14ac:dyDescent="0.2">
      <c r="A40" s="114" t="str">
        <f t="shared" si="10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9737622.5335018374</v>
      </c>
      <c r="E40" s="121">
        <f>SUMIFS('Resultater - Vestdanmark'!J$3:J$504,'Resultater - Vestdanmark'!$F$3:$F$504,$A40)*D4</f>
        <v>11461865.852294842</v>
      </c>
      <c r="F40" s="122">
        <f>VLOOKUP(A40,[1]Biogasudbytte!$A$2:$C$18,3,FALSE)</f>
        <v>7.5999999999999998E-2</v>
      </c>
      <c r="G40" s="123">
        <f t="shared" si="11"/>
        <v>14.1</v>
      </c>
      <c r="I40" s="114" t="str">
        <f t="shared" ref="I40:I55" si="13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692091.87949965673</v>
      </c>
      <c r="M40" s="121">
        <f>SUMIFS('Resultater - Østdanmark'!J$3:J$504,'Resultater - Østdanmark'!$F$3:$F$504,$A40)*D4</f>
        <v>814640.76605924184</v>
      </c>
      <c r="N40" s="122">
        <f>VLOOKUP(I40,[1]Biogasudbytte!$A$2:$C$18,3,FALSE)</f>
        <v>7.5999999999999998E-2</v>
      </c>
      <c r="O40" s="123">
        <f t="shared" si="12"/>
        <v>14.1</v>
      </c>
    </row>
    <row r="41" spans="1:15" hidden="1" x14ac:dyDescent="0.2">
      <c r="A41" s="114" t="str">
        <f t="shared" si="10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6257.0446016591122</v>
      </c>
      <c r="E41" s="121">
        <f>SUMIFS('Resultater - Vestdanmark'!J$3:J$504,'Resultater - Vestdanmark'!$F$3:$F$504,$A41)*D5</f>
        <v>7753.9785502341792</v>
      </c>
      <c r="F41" s="122">
        <f>VLOOKUP(A41,[1]Biogasudbytte!$A$2:$C$18,3,FALSE)</f>
        <v>6.3E-2</v>
      </c>
      <c r="G41" s="123">
        <f t="shared" si="11"/>
        <v>13.1</v>
      </c>
      <c r="I41" s="114" t="str">
        <f t="shared" si="13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525.15144386464101</v>
      </c>
      <c r="M41" s="121">
        <f>SUMIFS('Resultater - Østdanmark'!J$3:J$504,'Resultater - Østdanmark'!$F$3:$F$504,$A41)*D5</f>
        <v>650.78855763169781</v>
      </c>
      <c r="N41" s="122">
        <f>VLOOKUP(I41,[1]Biogasudbytte!$A$2:$C$18,3,FALSE)</f>
        <v>6.3E-2</v>
      </c>
      <c r="O41" s="123">
        <f t="shared" si="12"/>
        <v>13.1</v>
      </c>
    </row>
    <row r="42" spans="1:15" hidden="1" x14ac:dyDescent="0.2">
      <c r="A42" s="114" t="str">
        <f t="shared" si="10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2980433.248128525</v>
      </c>
      <c r="E42" s="121">
        <f>SUMIFS('Resultater - Vestdanmark'!J$3:J$504,'Resultater - Vestdanmark'!$F$3:$F$504,$A42)*D6</f>
        <v>3709649.3380054114</v>
      </c>
      <c r="F42" s="122">
        <f>VLOOKUP(A42,[1]Biogasudbytte!$A$2:$C$18,3,FALSE)</f>
        <v>0.06</v>
      </c>
      <c r="G42" s="123">
        <f t="shared" si="11"/>
        <v>13.9</v>
      </c>
      <c r="I42" s="114" t="str">
        <f t="shared" si="13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2508040.5680731749</v>
      </c>
      <c r="M42" s="121">
        <f>SUMIFS('Resultater - Østdanmark'!J$3:J$504,'Resultater - Østdanmark'!$F$3:$F$504,$A42)*D6</f>
        <v>3150253.3426541099</v>
      </c>
      <c r="N42" s="122">
        <f>VLOOKUP(I42,[1]Biogasudbytte!$A$2:$C$18,3,FALSE)</f>
        <v>0.06</v>
      </c>
      <c r="O42" s="123">
        <f t="shared" si="12"/>
        <v>13.9</v>
      </c>
    </row>
    <row r="43" spans="1:15" hidden="1" x14ac:dyDescent="0.2">
      <c r="A43" s="114" t="str">
        <f t="shared" si="10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1929250.7965815454</v>
      </c>
      <c r="E43" s="121">
        <f>SUMIFS('Resultater - Vestdanmark'!J$3:J$504,'Resultater - Vestdanmark'!$F$3:$F$504,$A43)*D7</f>
        <v>2283371.9816891025</v>
      </c>
      <c r="F43" s="122">
        <f>VLOOKUP(A43,[1]Biogasudbytte!$A$2:$C$18,3,FALSE)</f>
        <v>0.3</v>
      </c>
      <c r="G43" s="123">
        <f t="shared" si="11"/>
        <v>60</v>
      </c>
      <c r="I43" s="114" t="str">
        <f t="shared" si="13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259783.2336704561</v>
      </c>
      <c r="M43" s="121">
        <f>SUMIFS('Resultater - Østdanmark'!J$3:J$504,'Resultater - Østdanmark'!$F$3:$F$504,$A43)*D7</f>
        <v>307937.44645909779</v>
      </c>
      <c r="N43" s="122">
        <f>VLOOKUP(I43,[1]Biogasudbytte!$A$2:$C$18,3,FALSE)</f>
        <v>0.3</v>
      </c>
      <c r="O43" s="123">
        <f t="shared" si="12"/>
        <v>60</v>
      </c>
    </row>
    <row r="44" spans="1:15" hidden="1" x14ac:dyDescent="0.2">
      <c r="A44" s="114" t="str">
        <f t="shared" si="10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0</v>
      </c>
      <c r="E44" s="121">
        <f>SUMIFS('Resultater - Vestdanmark'!J$3:J$504,'Resultater - Vestdanmark'!$F$3:$F$504,$A44)*D8</f>
        <v>0</v>
      </c>
      <c r="F44" s="122">
        <f>VLOOKUP(A44,[1]Biogasudbytte!$A$2:$C$18,3,FALSE)</f>
        <v>4.2763387558472386E-2</v>
      </c>
      <c r="G44" s="123">
        <f t="shared" si="11"/>
        <v>15.822453396634783</v>
      </c>
      <c r="I44" s="114" t="str">
        <f t="shared" si="13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0</v>
      </c>
      <c r="M44" s="121">
        <f>SUMIFS('Resultater - Østdanmark'!J$3:J$504,'Resultater - Østdanmark'!$F$3:$F$504,$A44)*D8</f>
        <v>0</v>
      </c>
      <c r="N44" s="122">
        <f>VLOOKUP(I44,[1]Biogasudbytte!$A$2:$C$18,3,FALSE)</f>
        <v>4.2763387558472386E-2</v>
      </c>
      <c r="O44" s="123">
        <f t="shared" si="12"/>
        <v>15.822453396634783</v>
      </c>
    </row>
    <row r="45" spans="1:15" hidden="1" x14ac:dyDescent="0.2">
      <c r="A45" s="114" t="str">
        <f t="shared" si="10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11"/>
        <v>94.9</v>
      </c>
      <c r="I45" s="114" t="str">
        <f t="shared" si="13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2"/>
        <v>94.9</v>
      </c>
    </row>
    <row r="46" spans="1:15" hidden="1" x14ac:dyDescent="0.2">
      <c r="A46" s="114" t="str">
        <f t="shared" si="10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11"/>
        <v>102.595</v>
      </c>
      <c r="I46" s="114" t="str">
        <f t="shared" si="13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2"/>
        <v>102.595</v>
      </c>
    </row>
    <row r="47" spans="1:15" hidden="1" x14ac:dyDescent="0.2">
      <c r="A47" s="114" t="str">
        <f t="shared" si="10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11"/>
        <v>160.6</v>
      </c>
      <c r="I47" s="114" t="str">
        <f t="shared" si="13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2"/>
        <v>160.6</v>
      </c>
    </row>
    <row r="48" spans="1:15" hidden="1" x14ac:dyDescent="0.2">
      <c r="A48" s="114" t="str">
        <f t="shared" si="10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11"/>
        <v>95.4</v>
      </c>
      <c r="I48" s="114" t="str">
        <f t="shared" si="13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2"/>
        <v>95.4</v>
      </c>
    </row>
    <row r="49" spans="1:15" hidden="1" x14ac:dyDescent="0.2">
      <c r="A49" s="114" t="str">
        <f t="shared" si="10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11"/>
        <v>51.25</v>
      </c>
      <c r="I49" s="114" t="str">
        <f t="shared" si="13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2"/>
        <v>51.25</v>
      </c>
    </row>
    <row r="50" spans="1:15" hidden="1" x14ac:dyDescent="0.2">
      <c r="A50" s="114" t="str">
        <f t="shared" si="10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11"/>
        <v>100</v>
      </c>
      <c r="I50" s="114" t="str">
        <f t="shared" si="13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2"/>
        <v>100</v>
      </c>
    </row>
    <row r="51" spans="1:15" hidden="1" x14ac:dyDescent="0.2">
      <c r="A51" s="114" t="str">
        <f t="shared" si="10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11"/>
        <v>75.599999999999994</v>
      </c>
      <c r="I51" s="114" t="str">
        <f t="shared" si="13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2"/>
        <v>75.599999999999994</v>
      </c>
    </row>
    <row r="52" spans="1:15" hidden="1" x14ac:dyDescent="0.2">
      <c r="A52" s="114" t="str">
        <f t="shared" si="10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401960.68859899876</v>
      </c>
      <c r="E52" s="121">
        <f>SUMIFS('Resultater - Vestdanmark'!J$3:J$504,'Resultater - Vestdanmark'!$F$3:$F$504,$A52)/SUMIFS('Resultater - Danmark'!J$3:J$504,'Resultater - Danmark'!$F$3:$F$504,$A52)*E25</f>
        <v>523381.79192356829</v>
      </c>
      <c r="F52" s="122">
        <f>VLOOKUP(A52,[1]Biogasudbytte!$A$2:$C$18,3,FALSE)</f>
        <v>0.3</v>
      </c>
      <c r="G52" s="123">
        <f t="shared" si="11"/>
        <v>47.3</v>
      </c>
      <c r="I52" s="114" t="str">
        <f t="shared" si="13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348039.31140100124</v>
      </c>
      <c r="M52" s="121">
        <f>SUMIFS('Resultater - Østdanmark'!J$3:J$504,'Resultater - Østdanmark'!$F$3:$F$504,$A52)/SUMIFS('Resultater - Danmark'!J$3:J$504,'Resultater - Danmark'!$F$3:$F$504,$A52)*E25</f>
        <v>456618.20807643177</v>
      </c>
      <c r="N52" s="122">
        <f>VLOOKUP(I52,[1]Biogasudbytte!$A$2:$C$18,3,FALSE)</f>
        <v>0.3</v>
      </c>
      <c r="O52" s="123">
        <f t="shared" si="12"/>
        <v>47.3</v>
      </c>
    </row>
    <row r="53" spans="1:15" hidden="1" x14ac:dyDescent="0.2">
      <c r="A53" s="114" t="str">
        <f t="shared" si="10"/>
        <v>Glycerin</v>
      </c>
      <c r="B53" s="114" t="s">
        <v>139</v>
      </c>
      <c r="C53" s="121">
        <f>C26*$B$36</f>
        <v>114193.60000000001</v>
      </c>
      <c r="D53" s="121">
        <f>D26*$B$36</f>
        <v>114193.60000000001</v>
      </c>
      <c r="E53" s="121">
        <f>E26*$B$36</f>
        <v>114193.60000000001</v>
      </c>
      <c r="F53" s="122">
        <f>VLOOKUP(A53,[1]Biogasudbytte!$A$2:$C$18,3,FALSE)</f>
        <v>0.9</v>
      </c>
      <c r="G53" s="123">
        <f t="shared" si="11"/>
        <v>423.36</v>
      </c>
      <c r="I53" s="114" t="str">
        <f t="shared" si="13"/>
        <v>Glycerin</v>
      </c>
      <c r="J53" s="114" t="s">
        <v>139</v>
      </c>
      <c r="K53" s="121">
        <f>C26*$C$36</f>
        <v>28548.400000000001</v>
      </c>
      <c r="L53" s="121">
        <f>D26*$C$36</f>
        <v>28548.400000000001</v>
      </c>
      <c r="M53" s="121">
        <f>E26*$C$36</f>
        <v>28548.400000000001</v>
      </c>
      <c r="N53" s="122">
        <f>VLOOKUP(I53,[1]Biogasudbytte!$A$2:$C$18,3,FALSE)</f>
        <v>0.9</v>
      </c>
      <c r="O53" s="123">
        <f t="shared" si="12"/>
        <v>423.36</v>
      </c>
    </row>
    <row r="54" spans="1:15" hidden="1" x14ac:dyDescent="0.2">
      <c r="A54" s="114" t="str">
        <f t="shared" si="10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11"/>
        <v>25</v>
      </c>
      <c r="I54" s="114" t="str">
        <f t="shared" si="13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2"/>
        <v>25</v>
      </c>
    </row>
    <row r="55" spans="1:15" ht="12.75" hidden="1" thickBot="1" x14ac:dyDescent="0.25">
      <c r="A55" s="126" t="str">
        <f t="shared" si="10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11"/>
        <v>25</v>
      </c>
      <c r="I55" s="126" t="str">
        <f t="shared" si="13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2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26074657.716868471</v>
      </c>
      <c r="E56" s="129">
        <f ca="1">SUM(E39:E55)</f>
        <v>29790372.874202605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5417122.8624143098</v>
      </c>
      <c r="M56" s="129">
        <f ca="1">SUM(M39:M55)</f>
        <v>6452518.8795327013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8.6929776861628449E-2</v>
      </c>
      <c r="E57" s="133">
        <f ca="1">SUMPRODUCT(E39:E55,$F$39:$F$55)/E56</f>
        <v>8.8064606154896724E-2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9.0483371589363953E-2</v>
      </c>
      <c r="M57" s="133">
        <f ca="1">SUMPRODUCT(M39:M55,$N$39:$N$55)/M56</f>
        <v>9.1549155025274234E-2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492782535.68274039</v>
      </c>
      <c r="E59" s="114">
        <f ca="1">SUMPRODUCT(E39:E55,$I$12:$I$28)</f>
        <v>563663167.57084477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107723774.77448551</v>
      </c>
      <c r="M59" s="114">
        <f ca="1">SUMPRODUCT(M39:M55,$I$12:$I$28)</f>
        <v>127770459.38070776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17.690893031010383</v>
      </c>
      <c r="E60" s="114">
        <f ca="1">E59*[1]Energiindhold!$C$10</f>
        <v>20.235507715793329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3.8672835144040305</v>
      </c>
      <c r="M60" s="114">
        <f ca="1">M59*[1]Energiindhold!$C$10</f>
        <v>4.5869594917674092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5" t="s">
        <v>271</v>
      </c>
    </row>
    <row r="2" spans="1:4" ht="15.75" x14ac:dyDescent="0.25">
      <c r="A2" s="203" t="s">
        <v>308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8">
        <v>0</v>
      </c>
      <c r="D4" s="388">
        <v>0</v>
      </c>
    </row>
    <row r="5" spans="1:4" x14ac:dyDescent="0.25">
      <c r="A5" s="285"/>
    </row>
    <row r="6" spans="1:4" x14ac:dyDescent="0.25">
      <c r="A6" s="285"/>
    </row>
    <row r="7" spans="1:4" ht="15.75" x14ac:dyDescent="0.25">
      <c r="A7" s="203" t="s">
        <v>294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2">
        <f>SUMIFS('Forbrug af biomasse'!$E$2:$E$403,'Forbrug af biomasse'!$D$2:$D$403,'Forbrug til andet'!B$15,'Forbrug af biomasse'!$C$2:$C$403,'Forbrug til andet'!$A16,'Forbrug af biomasse'!$A$2:$A$403,"Materialer")</f>
        <v>0</v>
      </c>
      <c r="C16" s="322">
        <f>SUMIFS('Forbrug af biomasse'!$E$2:$E$403,'Forbrug af biomasse'!$D$2:$D$403,'Forbrug til andet'!C$15,'Forbrug af biomasse'!$C$2:$C$403,'Forbrug til andet'!$A16,'Forbrug af biomasse'!$A$2:$A$403,"Materialer")</f>
        <v>0</v>
      </c>
      <c r="D16" s="322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2">
        <v>0</v>
      </c>
      <c r="C17" s="322">
        <f>SUMIFS('Forbrug af biomasse'!$E$2:$E$403,'Forbrug af biomasse'!$D$2:$D$403,'Forbrug til andet'!C$15,'Forbrug af biomasse'!$C$2:$C$403,'Forbrug til andet'!$A17,'Forbrug af biomasse'!$A$2:$A$403,"Materialer")</f>
        <v>0</v>
      </c>
      <c r="D17" s="322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2">
        <f>SUMIFS('Forbrug af biomasse'!$E$2:$E$403,'Forbrug af biomasse'!$D$2:$D$403,'Forbrug til andet'!B$15,'Forbrug af biomasse'!$C$2:$C$403,'Forbrug til andet'!$A18,'Forbrug af biomasse'!$A$2:$A$403,"Materialer")</f>
        <v>0</v>
      </c>
      <c r="C18" s="322">
        <f>SUMIFS('Forbrug af biomasse'!$E$2:$E$403,'Forbrug af biomasse'!$D$2:$D$403,'Forbrug til andet'!C$15,'Forbrug af biomasse'!$C$2:$C$403,'Forbrug til andet'!$A18,'Forbrug af biomasse'!$A$2:$A$403,"Materialer")</f>
        <v>0</v>
      </c>
      <c r="D18" s="322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 t="shared" ref="A19:A20" si="0">A12</f>
        <v>Have/parkaffald</v>
      </c>
      <c r="B19" s="322">
        <f>SUMIFS('Forbrug af biomasse'!$E$2:$E$403,'Forbrug af biomasse'!$D$2:$D$403,'Forbrug til andet'!B$15,'Forbrug af biomasse'!$C$2:$C$403,'Forbrug til andet'!$A19,'Forbrug af biomasse'!$A$2:$A$403,"Materialer")</f>
        <v>0</v>
      </c>
      <c r="C19" s="322">
        <f>SUMIFS('Forbrug af biomasse'!$E$2:$E$403,'Forbrug af biomasse'!$D$2:$D$403,'Forbrug til andet'!C$15,'Forbrug af biomasse'!$C$2:$C$403,'Forbrug til andet'!$A19,'Forbrug af biomasse'!$A$2:$A$403,"Materialer")</f>
        <v>0</v>
      </c>
      <c r="D19" s="322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 t="shared" si="0"/>
        <v>Bioaffald</v>
      </c>
      <c r="B20" s="322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2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2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809789.15928333369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703268.18873094791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55949.560086021185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48589.864819642906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94087.082412375472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81710.716021056694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179394.47433816589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155796.63618588899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6942.1581713830101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6028.9755019603408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41355.317643651651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35915.372538925141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4037.1409759488074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3506.0889482883485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138250.29972976272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120064.63258721215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2540.3874452133937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2206.2207882002126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44929.041857570082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39019.003312607769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47261.400630257056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41044.559854992149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12741.4251138164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11065.397528382413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4686.7049638673298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4070.2082428126114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112966.14252431852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98106.394152410197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20843.531266124886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16500.437390404819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1786.7951054397183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1414.4868444007736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1913.2698208119741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1514.6084646686793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17656.329249729286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13977.341536317093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82.579316026090069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65.372552109030366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1303.7133622629699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1032.0631583197971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34.203336491457428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27.076506620423842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4415.1367500105207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3495.1701121787992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75.215650030725556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59.54322750136015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1330.2565696985414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1053.0756502454326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3283.4655055701205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2599.3012559376307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377.24740533545247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298.64167990319493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619.57934642519353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490.4797600535137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17512.450507812609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13863.442305783894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8269.0161200631464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476.12351737499114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616.55839503976472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14219.782896462779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16.527831515094178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874.82296878583463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9.4603904307598334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1176.4921633749784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33.714690278143649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596.27468777483512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1897.1467002204627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169.09751393390181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399.1587138370042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14762.990467149724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126383.27919450874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149178.10063989804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8732.0122677605341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10306.941022348496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14684.111127942995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17332.576125678694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27997.981544106817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33047.771312158278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1083.4582117187358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1278.8735913249209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6454.2981293560397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7618.4123567416955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630.07402514807984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743.71583751571029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21576.636374009206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25468.255397287427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396.47665329920017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467.98622780004507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7012.0469951120949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8276.7582784319511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7376.0567457626612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8706.4217874225778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1988.5461160291493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2347.2055363235422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731.451063724959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863.37750605116003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17630.554035587287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20810.447244450646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3253.0366715917453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3500.0927797828404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278.86397599348209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300.04266396380046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298.60280440418097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321.28058341456835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2755.6120794375188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2964.8906289157476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12.888101345112323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13.866904992824622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203.46971549768895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218.92248812844184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5.3380929784355526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5.7435014043323305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689.0675852617577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741.39972076519973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11.73885867531555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12.630381591197606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207.61229700497469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223.3796833853948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512.44837370169512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551.36693307767916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58.876762682411666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63.34823513098074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96.697354644394366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104.0411612234726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2733.1570156701764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2940.7301860753714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1290.5400881023411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74.308294619218273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96.225876682506637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2219.2724751704914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2.5794881555349294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136.5330644925869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1.4764771192515349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183.61438387933188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5.2618302746235761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93.060211386823994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296.08647922515894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26.390941481013577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62.296446668202975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2304.0505353355065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277847.44549518183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252961.21164089115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6055.6397331754633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5513.2483274579954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38413.381365538749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34972.772472795026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23337.085725305184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21246.830147095647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3656.9274374465294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3329.3838415920754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2345.9279292965525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2135.807908398976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24387.347223432687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22203.021846582469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6897.6493288624933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6279.8408262972243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1604.9535438553075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1461.2011003283492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11460.146724373322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10433.684555973852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35457.355952106635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32281.512278228936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2514.9530700143437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2289.6938090504755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1195.4478510811762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1088.3740043895341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29775.268629829476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27108.358027589973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4153.0281200981244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3287.676142844382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112.30451890716081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88.904018192866161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453.61549532985964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359.09721747448225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1333.8196227610581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1055.8962823747061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25.261099168726226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19.997532084392677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42.946180543416538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33.997634765724179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119.98259301094923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94.982238788545629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127.91995950888544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101.26572392701387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27.594964857400839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21.845098323620871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197.0414329626538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155.98459715892352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1430.5114592593595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1132.4407783112672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43.241152898637949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34.231144760604046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91.773876584838561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72.651274168880292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2659.7407767838267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2105.5398723801477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1796.6458108942293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32.633012539823845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159.40463041598321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1171.3986150504631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5.5133034466362671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31.425171951535479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36.188775432258431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37.170486845663731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13.488257970641145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96.312703873303633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901.3113802822603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21.136023483224019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64.473732983194068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2242.1606682189854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43363.474152427225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53658.438832916305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945.0998427499278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1169.4769179456355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5995.1520050262798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7418.4668881686412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3642.2041305389598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4506.9033645354402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570.73433994830236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706.23293609528866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366.12748029483765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453.05016238766149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3806.1177747553907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4709.7319068508268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1076.511744966979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1332.0874480024415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250.48407909880524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309.95174855449835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1788.5778124744493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2213.2058149035443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5533.8069983056603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6847.5935135637137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392.50712653403053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485.6926261622221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186.57278600688875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230.86721305232541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4647.0072428057565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5750.2577634281761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648.16045804999635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697.38584848214157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17.527294858343019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18.858428101517063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70.795481930093715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76.17213704004169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208.16838043091659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223.97799929160431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3.9424836852925322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4.2419007451742043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6.7025830905910215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7.211619495759674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18.725607001708841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20.147747621812712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19.964386744161317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21.480608105730209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4.3067286193631373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4.6338087353135169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30.752131156021115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33.087641821589841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223.25901387284802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240.21471055087486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6.74861923851575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7.261151918916009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14.323090565263824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15.410876338853395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415.10405186799608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446.6296698988192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280.40136933031323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5.0930135177759759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24.878179313477148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182.81943703099714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0.86045776334785684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4.9045066051529362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5.6479591715085418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5.8011742475891381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2.1051038451289652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15.031462454215021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140.66709403249149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3.2986857459366963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10.062374511827977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349.9325898376452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9723529.5356878359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8686398.2742639016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1408911.3784681347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1258634.050691002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637730.00302184175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981800.42573609971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92405.237660897488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142260.04930899799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3615.8703437693521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4977.6607022998596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364.53368246961463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5025.6642058609605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3615.8703437693521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363.33149692104462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32547.837708886895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45747.463772336472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3275.7985272638125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45173.285182142659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31749.414907659091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3172.5768775227571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3615.8703437693521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4977.1213052648709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364.53368246961463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5025.6642058609605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3615.8703437693521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363.87089395603351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32550.034856919305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45902.389129639385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3273.6013792313997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45142.599783169004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31629.311727902626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3168.4400989500195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698.19114071466845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890.85122692804998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70.681612143180047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905.02086990301564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698.19114071466845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70.448513209516364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6284.6906411072023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8195.9946084659714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635.16413461343438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8139.0053057825789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6130.4559698886542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615.1498726600563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698.19114071466845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890.74664001646488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70.681612143180047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905.02086990301564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698.19114071466845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70.553100121101537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6285.1166592572836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8223.7326928204147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634.73811646335264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8135.2384124486625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6107.2868835642512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614.34776796394249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30" workbookViewId="0">
      <selection activeCell="E338" sqref="E338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6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10904939.805455904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9737622.5335018374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2980433.248128525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1929250.7965815454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11690156.331739446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3709649.3380054114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2283371.9816891025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1580094.3183261557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692091.87949965673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2508040.5680731749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259783.2336704561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1693869.9277261887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3150253.3426541099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307937.44645909779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3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5734288.3153172266</v>
      </c>
      <c r="G203" s="293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754028.76978801878</v>
      </c>
      <c r="G204" s="293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3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62908.541627737373</v>
      </c>
      <c r="G206" s="293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820432.23039507493</v>
      </c>
      <c r="G207" s="293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5517603.3385994658</v>
      </c>
      <c r="G208" s="293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208821.40901429488</v>
      </c>
      <c r="G209" s="293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3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3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11936022.044118334</v>
      </c>
      <c r="G212" s="293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1478350.7282518283</v>
      </c>
      <c r="G213" s="293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293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293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38444.108772506181</v>
      </c>
      <c r="G216" s="293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4709403.3246320067</v>
      </c>
      <c r="G217" s="293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5470784.8849928668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719379.45387000521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60017.752814183521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782731.52628497675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5264057.0697440123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199225.59614708141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11387535.016591122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1410417.1911333126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36677.515608667709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4492995.6620617937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700622.1199230341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92128.125779914451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7686.2399260183547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100241.37903515603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674147.29351119313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25514.0464210887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1458357.2726296766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180626.6382614313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4697.1466214556613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575400.46112831845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662441.233045817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87107.539862645164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7267.3729665242781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94778.655771754129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637409.17060556682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24123.640819434757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1378883.0846623355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170783.26471332053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4441.1723684315039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544043.61513285921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2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2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2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2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3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2293765.6188591849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2"/>
        <v>Rapsolie</v>
      </c>
      <c r="D303">
        <f t="shared" si="23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159083.12542284423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170203.15251490066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2217144.8993992088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2"/>
        <v>Halm</v>
      </c>
      <c r="D308">
        <f t="shared" si="23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2"/>
        <v>Rapsolie</v>
      </c>
      <c r="D309">
        <f t="shared" si="23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2"/>
        <v>Træmaterialer</v>
      </c>
      <c r="D311">
        <f t="shared" si="23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610444.4261939266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3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1146907.9751365485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2"/>
        <v>Rapsolie</v>
      </c>
      <c r="D315">
        <f t="shared" si="23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64095.241196414951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2"/>
        <v>Pil &amp; poppel</v>
      </c>
      <c r="D316">
        <f t="shared" si="23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39668.631585604686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2"/>
        <v>Træ til energi</v>
      </c>
      <c r="D317">
        <f t="shared" si="23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647645.86028338596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2"/>
        <v>Have/parkaffald</v>
      </c>
      <c r="D318">
        <f t="shared" si="23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2"/>
        <v>Bioaffald</v>
      </c>
      <c r="D319">
        <f t="shared" si="23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2"/>
        <v>Halm</v>
      </c>
      <c r="D320">
        <f t="shared" si="23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2"/>
        <v>Rapsolie</v>
      </c>
      <c r="D321">
        <f t="shared" si="23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2"/>
        <v>Pil &amp; poppel</v>
      </c>
      <c r="D322">
        <f t="shared" si="23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2"/>
        <v>Træmaterialer</v>
      </c>
      <c r="D323">
        <f t="shared" si="23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178235.22139277839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2"/>
        <v>Have/parkaffald</v>
      </c>
      <c r="D324">
        <f t="shared" si="23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2"/>
        <v>Bioaffald</v>
      </c>
      <c r="D325">
        <f t="shared" si="23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4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2621642.4459828315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2"/>
        <v>Rapsolie</v>
      </c>
      <c r="D327">
        <f t="shared" si="24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151027.97877060805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2"/>
        <v>Pil &amp; poppel</v>
      </c>
      <c r="D328">
        <f t="shared" si="24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146472.78733520172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2"/>
        <v>Træ til energi</v>
      </c>
      <c r="D329">
        <f t="shared" si="24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2287577.6202536402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2"/>
        <v>Have/parkaffald</v>
      </c>
      <c r="D330">
        <f t="shared" si="24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2"/>
        <v>Bioaffald</v>
      </c>
      <c r="D331">
        <f t="shared" si="24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2"/>
        <v>Halm</v>
      </c>
      <c r="D332">
        <f t="shared" si="24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2"/>
        <v>Rapsolie</v>
      </c>
      <c r="D333">
        <f t="shared" si="24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2"/>
        <v>Pil &amp; poppel</v>
      </c>
      <c r="D334">
        <f t="shared" si="24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2"/>
        <v>Træmaterialer</v>
      </c>
      <c r="D335">
        <f t="shared" si="24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659548.66396073136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2"/>
        <v>Have/parkaffald</v>
      </c>
      <c r="D336">
        <f t="shared" si="24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2"/>
        <v>Bioaffald</v>
      </c>
      <c r="D337">
        <f t="shared" si="24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4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1321534.7605934532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2"/>
        <v>Rapsolie</v>
      </c>
      <c r="D339">
        <f t="shared" si="24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64013.646347353635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2"/>
        <v>Pil &amp; poppel</v>
      </c>
      <c r="D340">
        <f t="shared" si="24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36959.622363047813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2"/>
        <v>Træ til energi</v>
      </c>
      <c r="D341">
        <f t="shared" si="24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637918.49942824384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2"/>
        <v>Have/parkaffald</v>
      </c>
      <c r="D342">
        <f t="shared" si="24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2"/>
        <v>Bioaffald</v>
      </c>
      <c r="D343">
        <f t="shared" si="24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2"/>
        <v>Halm</v>
      </c>
      <c r="D344">
        <f t="shared" si="24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2"/>
        <v>Rapsolie</v>
      </c>
      <c r="D345">
        <f t="shared" si="24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2"/>
        <v>Pil &amp; poppel</v>
      </c>
      <c r="D346">
        <f t="shared" si="24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2"/>
        <v>Træmaterialer</v>
      </c>
      <c r="D347">
        <f t="shared" si="24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181156.38422629872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2"/>
        <v>Have/parkaffald</v>
      </c>
      <c r="D348">
        <f t="shared" si="24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2"/>
        <v>Bioaffald</v>
      </c>
      <c r="D349">
        <f t="shared" si="24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3634979.9351519686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3245874.1778339455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2085.6815338863707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243453.07671148074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19339631.292659696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590491.77533861843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1298906.2590821604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96046.599229779691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21610883.072868608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475615.83979339601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526698.10610871855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230697.29316655223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175.05048128821366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32782.169963176602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4017892.007010099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335173.45257844625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188207.76974735426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12952.924335184269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4680862.224178886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288937.99053379206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497134.76694638823</v>
      </c>
      <c r="G393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471962.43365815014</v>
      </c>
      <c r="G394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200297.62873879672</v>
      </c>
      <c r="G396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200042.64483548011</v>
      </c>
      <c r="G397">
        <v>1</v>
      </c>
    </row>
    <row r="398" spans="1:7" x14ac:dyDescent="0.25">
      <c r="A398" t="s">
        <v>310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310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310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310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310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310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306</v>
      </c>
      <c r="D404">
        <f t="shared" ref="D404:D411" si="31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307</v>
      </c>
      <c r="D405">
        <f t="shared" si="31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306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307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306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307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306</v>
      </c>
      <c r="D410">
        <f t="shared" si="31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307</v>
      </c>
      <c r="D411">
        <f t="shared" si="31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306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307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306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307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754028.76978801878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3047794.3886472038</v>
      </c>
      <c r="F14">
        <f>E14-D14</f>
        <v>2293765.6188591849</v>
      </c>
      <c r="G14">
        <f t="shared" si="3"/>
        <v>2293765.6188591849</v>
      </c>
      <c r="H14">
        <f t="shared" si="1"/>
        <v>1146907.9751365485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159083.12542284423</v>
      </c>
      <c r="F15">
        <f t="shared" si="2"/>
        <v>159083.12542284423</v>
      </c>
      <c r="G15">
        <f t="shared" si="3"/>
        <v>159083.12542284423</v>
      </c>
      <c r="H15">
        <f t="shared" si="1"/>
        <v>64095.241196414951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170203.15251490066</v>
      </c>
      <c r="F16">
        <f t="shared" si="2"/>
        <v>170203.15251490066</v>
      </c>
      <c r="G16">
        <f t="shared" si="3"/>
        <v>170203.15251490066</v>
      </c>
      <c r="H16">
        <f t="shared" si="1"/>
        <v>39668.631585604686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2217144.8993992088</v>
      </c>
      <c r="F17">
        <f t="shared" ca="1" si="2"/>
        <v>2217144.8993992088</v>
      </c>
      <c r="G17">
        <f t="shared" ca="1" si="3"/>
        <v>2217144.8993992088</v>
      </c>
      <c r="H17">
        <f t="shared" ca="1" si="1"/>
        <v>647645.86028338596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92128.125779914451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1239036.100916463</v>
      </c>
      <c r="F20">
        <f t="shared" si="2"/>
        <v>1146907.9751365485</v>
      </c>
      <c r="G20">
        <f t="shared" si="3"/>
        <v>1146907.9751365485</v>
      </c>
      <c r="H20">
        <f t="shared" si="1"/>
        <v>2293765.6188591849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64095.241196414951</v>
      </c>
      <c r="F21">
        <f t="shared" si="2"/>
        <v>64095.241196414951</v>
      </c>
      <c r="G21">
        <f t="shared" si="3"/>
        <v>64095.241196414951</v>
      </c>
      <c r="H21">
        <f t="shared" si="1"/>
        <v>159083.12542284423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39668.631585604686</v>
      </c>
      <c r="F22">
        <f t="shared" si="2"/>
        <v>39668.631585604686</v>
      </c>
      <c r="G22">
        <f t="shared" si="3"/>
        <v>39668.631585604686</v>
      </c>
      <c r="H22">
        <f t="shared" si="1"/>
        <v>170203.15251490066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647645.86028338596</v>
      </c>
      <c r="F23">
        <f t="shared" ca="1" si="2"/>
        <v>647645.86028338596</v>
      </c>
      <c r="G23">
        <f t="shared" ca="1" si="3"/>
        <v>647645.86028338596</v>
      </c>
      <c r="H23">
        <f t="shared" ca="1" si="1"/>
        <v>2217144.8993992088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719379.45387000521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3341021.8998528365</v>
      </c>
      <c r="F26">
        <f t="shared" si="2"/>
        <v>2621642.4459828315</v>
      </c>
      <c r="G26">
        <f t="shared" si="3"/>
        <v>2621642.4459828315</v>
      </c>
      <c r="H26">
        <f t="shared" si="1"/>
        <v>1321534.7605934532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151027.97877060805</v>
      </c>
      <c r="F27">
        <f t="shared" si="2"/>
        <v>151027.97877060805</v>
      </c>
      <c r="G27">
        <f t="shared" si="3"/>
        <v>151027.97877060805</v>
      </c>
      <c r="H27">
        <f t="shared" si="1"/>
        <v>64013.646347353635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146472.78733520172</v>
      </c>
      <c r="F28">
        <f t="shared" si="2"/>
        <v>146472.78733520172</v>
      </c>
      <c r="G28">
        <f t="shared" si="3"/>
        <v>146472.78733520172</v>
      </c>
      <c r="H28">
        <f t="shared" si="1"/>
        <v>36959.622363047813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2287577.6202536402</v>
      </c>
      <c r="F29">
        <f t="shared" ca="1" si="2"/>
        <v>2287577.6202536402</v>
      </c>
      <c r="G29">
        <f t="shared" ca="1" si="3"/>
        <v>2287577.6202536402</v>
      </c>
      <c r="H29">
        <f t="shared" ca="1" si="1"/>
        <v>637918.49942824384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87107.539862645164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1408642.3004560983</v>
      </c>
      <c r="F32">
        <f t="shared" si="2"/>
        <v>1321534.7605934532</v>
      </c>
      <c r="G32">
        <f t="shared" si="3"/>
        <v>1321534.7605934532</v>
      </c>
      <c r="H32">
        <f t="shared" si="1"/>
        <v>2621642.4459828315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64013.646347353635</v>
      </c>
      <c r="F33">
        <f t="shared" si="2"/>
        <v>64013.646347353635</v>
      </c>
      <c r="G33">
        <f t="shared" si="3"/>
        <v>64013.646347353635</v>
      </c>
      <c r="H33">
        <f t="shared" si="1"/>
        <v>151027.97877060805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36959.622363047813</v>
      </c>
      <c r="F34">
        <f t="shared" si="2"/>
        <v>36959.622363047813</v>
      </c>
      <c r="G34">
        <f t="shared" si="3"/>
        <v>36959.622363047813</v>
      </c>
      <c r="H34">
        <f t="shared" si="1"/>
        <v>146472.78733520172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637918.49942824384</v>
      </c>
      <c r="F35">
        <f t="shared" ca="1" si="2"/>
        <v>637918.49942824384</v>
      </c>
      <c r="G35">
        <f t="shared" ca="1" si="3"/>
        <v>637918.49942824384</v>
      </c>
      <c r="H35">
        <f t="shared" ca="1" si="1"/>
        <v>2287577.6202536402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387359.23061650008</v>
      </c>
      <c r="O3">
        <f>SUMIF($F$3:$F$494,"Roer",J3:J494)</f>
        <v>370630.07456563454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hidden="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hidden="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hidden="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-9039.6758594233797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-12444.151755749648</v>
      </c>
    </row>
    <row r="18" spans="1:10" hidden="1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-2004.9352535828805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-27641.153132235282</v>
      </c>
    </row>
    <row r="22" spans="1:10" hidden="1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-50622.184812770931</v>
      </c>
    </row>
    <row r="26" spans="1:10" hidden="1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693.04550820382815</v>
      </c>
    </row>
    <row r="28" spans="1:10" hidden="1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362.03869831543261</v>
      </c>
    </row>
    <row r="29" spans="1:10" hidden="1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-5268.3067053551467</v>
      </c>
    </row>
    <row r="30" spans="1:10" hidden="1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-3699.2133289461258</v>
      </c>
    </row>
    <row r="31" spans="1:10" hidden="1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-406847.97136108618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-571843.29715420585</v>
      </c>
    </row>
    <row r="34" spans="1:10" hidden="1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7480.0902236379161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103150.49782466076</v>
      </c>
    </row>
    <row r="36" spans="1:10" hidden="1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1870.0225559094786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25787.624456165187</v>
      </c>
    </row>
    <row r="37" spans="1:10" hidden="1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-52412.776436221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-722772.56291428255</v>
      </c>
    </row>
    <row r="38" spans="1:10" hidden="1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-47171.498792598904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-650495.30662285443</v>
      </c>
    </row>
    <row r="39" spans="1:10" hidden="1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76669.397759457366</v>
      </c>
    </row>
    <row r="40" spans="1:10" hidden="1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26539.406916735243</v>
      </c>
    </row>
    <row r="41" spans="1:10" hidden="1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-15874.707453829546</v>
      </c>
    </row>
    <row r="42" spans="1:10" hidden="1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-483498.232736637</v>
      </c>
    </row>
    <row r="43" spans="1:10" hidden="1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3521.5783523746609</v>
      </c>
    </row>
    <row r="44" spans="1:10" hidden="1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1760.7891761873307</v>
      </c>
    </row>
    <row r="45" spans="1:10" hidden="1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-39657.210969034466</v>
      </c>
    </row>
    <row r="46" spans="1:10" hidden="1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-22208.038142659298</v>
      </c>
    </row>
    <row r="47" spans="1:10" hidden="1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-9039.6758594233797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-12442.803263162177</v>
      </c>
    </row>
    <row r="50" spans="1:10" hidden="1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-1549.2681504958623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-21359.072874909081</v>
      </c>
    </row>
    <row r="54" spans="1:10" hidden="1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-49718.217226828594</v>
      </c>
    </row>
    <row r="58" spans="1:10" hidden="1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508.87649855594589</v>
      </c>
    </row>
    <row r="60" spans="1:10" hidden="1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277.56899921233418</v>
      </c>
    </row>
    <row r="61" spans="1:10" hidden="1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-4821.2893449174444</v>
      </c>
    </row>
    <row r="62" spans="1:10" hidden="1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-941.78349023914541</v>
      </c>
    </row>
    <row r="63" spans="1:10" hidden="1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-309225.33114073338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-436072.69673157413</v>
      </c>
    </row>
    <row r="66" spans="1:10" hidden="1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1898.2610482430161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26176.809225603654</v>
      </c>
    </row>
    <row r="68" spans="1:10" hidden="1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6643.9136688505532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91618.832289612736</v>
      </c>
    </row>
    <row r="69" spans="1:10" hidden="1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-26188.811033851198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-361140.79826535203</v>
      </c>
    </row>
    <row r="70" spans="1:10" hidden="1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-13094.405516925604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-180570.3991326761</v>
      </c>
    </row>
    <row r="71" spans="1:10" hidden="1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19741.906414244215</v>
      </c>
    </row>
    <row r="72" spans="1:10" hidden="1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26110.26332206493</v>
      </c>
    </row>
    <row r="73" spans="1:10" hidden="1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-142331.90277556182</v>
      </c>
    </row>
    <row r="74" spans="1:10" hidden="1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-136181.75882846964</v>
      </c>
    </row>
    <row r="75" spans="1:10" hidden="1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1634.6399328059003</v>
      </c>
    </row>
    <row r="76" spans="1:10" hidden="1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891.62178153049126</v>
      </c>
    </row>
    <row r="77" spans="1:10" hidden="1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-41189.721286350257</v>
      </c>
    </row>
    <row r="78" spans="1:10" hidden="1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-11275.91917567507</v>
      </c>
    </row>
    <row r="79" spans="1:10" hidden="1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hidden="1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hidden="1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hidden="1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hidden="1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6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77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13478450.427395193</v>
      </c>
      <c r="J95" s="278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12040811.734315882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6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77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14539919.740607873</v>
      </c>
      <c r="J96" s="278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12989062.590821607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6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77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1863912.8013176599</v>
      </c>
      <c r="J97" s="278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1665104.1045661613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6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77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152350.23515445206</v>
      </c>
      <c r="J98" s="278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136100.25195811957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6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77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-8318187811.8948736</v>
      </c>
      <c r="J99" s="278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-7430953131.6845398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6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77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-638835.89049469074</v>
      </c>
      <c r="J100" s="278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-570696.36661913828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6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77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1089273.4501434613</v>
      </c>
      <c r="J101" s="278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973089.34814258514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6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77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301413.69568640337</v>
      </c>
      <c r="J102" s="278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464033.51472467376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6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77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78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6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77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326708.60613861453</v>
      </c>
      <c r="J104" s="278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502975.62773999455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6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77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9992.0831801694221</v>
      </c>
      <c r="J105" s="278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15383.048427697806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6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77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-545558885.68509495</v>
      </c>
      <c r="J106" s="278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-839900810.20446122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6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77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-36828.907674511363</v>
      </c>
      <c r="J107" s="278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-56698.974586259763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6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77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78585.517112095433</v>
      </c>
      <c r="J108" s="278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120984.2626060426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6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77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78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6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77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78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6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77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78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6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77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78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6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77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78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6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77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78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6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77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78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6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77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78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6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77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78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6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77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78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6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77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78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6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77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78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6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77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78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6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77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78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6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77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78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6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77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78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6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77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78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6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77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78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6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77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78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6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77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78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6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77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78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6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77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78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6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77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78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6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77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78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6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77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78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6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77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78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6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77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78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6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77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78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6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77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78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6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77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78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6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77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78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6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77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78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6073985.5470365016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5669396.5034545362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2672553.6406960608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2806351.2692099959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-129566265.48533338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-112522910.19695166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1841213.0503133023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1599016.9195492582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187609.28996138749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159621.9312272981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82548.087583010521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79012.855957512569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-2709659.0645962353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-2145056.8607526263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333323.38154699642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263869.95167718321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86832.772896460694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38206.420074442707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-826901.61200631468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338630.22086863633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635135.25171034865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805741.50306672044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279459.51075255347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398842.04401802667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-13548287.529651336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-15991892.388597069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287356.95004889689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339185.40717711538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19617.641938736997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22685.662347152367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8631.762453044279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11229.402861840423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-283339.49409564101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-304858.08111908543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52021.568218317363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55972.413992129776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9079.7968884218153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3995.1106309055999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-86466.185902856858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52849.803256954823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153054.33393253037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142715.4964922044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-1388431.634276602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-1205795.1003920683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15784.345932466715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13708.047640515055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2184.7595918649358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1856.9674854049474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-16102.966625087563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-12747.647661260922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1320.5831829652263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1045.4178733501305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510.14665094313386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-3140.2879878678937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676.84270476343079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13615.642770067298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17255.600939511984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-123514.23613593586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-145791.58941104097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2463.4528333907592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2907.7676813213752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194.35520299885178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224.52425050805272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-1432.5124645092346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-1541.3064899524566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206.10257768821452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221.75530646820951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45.382410161935432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-279.35856724443283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105.63441057001521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18681.417518152328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18478.993734755764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-14786657.169740809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-12798130.913545679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3201.9370591217316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2771.3369688067014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1661.890263609042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2234.2783333841066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-1315414.1840596013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-1547410.3740923414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499.72428090339162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587.85935701960341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1879345.3659067894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1754161.903044682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-6203297.6465477478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-5387305.8808387714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94029.352791942845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81660.580247896083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71094.924825440001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60489.05788957436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-156445.60347155639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-123847.57899837565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20848.585632116265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16504.438595791955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55657.468506481237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-78734.067190725124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35825.482843373764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167185.69468962715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212094.1210044933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-551842.49005994131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-651374.25650141481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14675.101302788773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17321.941264705227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6324.5716362053263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7313.6769993758098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-13917.328540041923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-14974.29818798542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3253.8255032782613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3500.9415203195058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4951.2626607788789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-7004.1462084697077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5591.2603281565989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9524662.5838259775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8890223.4506753813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-27806143.522415712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-24148478.608812794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407888.20586070279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354233.93416903727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1124921.4616650923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957106.84810423467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-2295322.8024648074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-1817054.3997212222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282354.62101336458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223521.37391874261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1056967.2697290797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-1493077.2041285918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582324.20314794069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1159476.2659848274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1470927.8800208364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-3384955.9686825145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-3995475.5516399359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63658.85293779755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75140.531490401874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136941.30625818987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158357.67850451884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-279419.06485496444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-300639.9097720568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44066.906169715861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47413.624770642382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128668.96358667292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-181758.41571646326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90882.968121354905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231082.87306728473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215690.40993439485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92481.042050347503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97110.97498056601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127212.19963087571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110478.50195730201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8855.7853733845513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7534.6885227540415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3544.1495452861277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3392.3666279000636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28573.881223510933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22620.041302486134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2753.0794920470639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1101.8023832420477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19498.064764712784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20557.025528933602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26078.931382976833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8227.0707349991244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11741.599702195706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19853.927110021072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23434.833748518609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787.80657165542334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911.01233956935209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315.28590463556941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410.16796500973487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4459.5074741895678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4798.19057931524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244.91267851216364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98.015830509220308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3043.0505702152905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350995.0620325355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327615.23089035868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-545014.03175308905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-473322.00801892707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9179.2246977595587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7971.7746936262402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3568.426949187919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3036.0927286177698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-3591.3503316030301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-2843.0331951445032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546.96930351964966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432.99921841301472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1151.5006496503686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-709.52928230698751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387.41901751756075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31224.358408559085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39611.65973492519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-48484.196235144736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-57228.933696833898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1432.5957620780816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1690.9825107692025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317.44561126012758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367.09121173287576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-319.48486475936778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-343.74855904928995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85.365151416361513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91.848319057306156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102.43696530704723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-63.119396848003106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60.464239728174228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23077.641668552034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21540.436665592773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-355654.24232987512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-308870.91034802975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4993.625292286747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4336.7557767944909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819.9378354889443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697.62036205143568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-10530.191004301578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-8336.0518501904207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801.92627227934429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634.83169327315693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428.7841052512365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-4720.056638940111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960.92579800208387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2052.9763310925769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2604.4346150216716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-31638.836933276172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-37345.300978443593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779.35192422972352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919.91789204731629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72.941290683091623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84.348643775309938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-936.76092229018082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-1007.9044509775689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125.15612341931964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134.66126827006357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38.144435721482829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-419.89405591496137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149.97107830090329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1432412.416579653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1336999.2212154246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-6383668.0305964164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-5543950.0539996875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102154.90940807559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88717.288056772813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50892.944489136768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43300.787966692063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-166282.07121231768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-131634.45628067906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21273.056492958694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16840.463944565974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26614.317234626018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-64347.976722367624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24418.458772822862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127426.74619168128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161655.36038331952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-567888.15601664071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-670313.96107450756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15943.251757329719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18818.818678709384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4527.4128074440168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5235.4589087000395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-14792.376161604447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-15915.80244120938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3320.072400635172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3572.2196246049034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2367.5973539936099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-5724.3662529320109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3810.9733344868055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6584267.2998397611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6145688.3159253355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-22120047.956762034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-19210341.213953946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314338.92779873818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272990.27884775557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252328.77397797129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214686.62993644815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-573967.77750136773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-454372.11458324391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70605.517496821296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55893.692196333228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78443.767955346804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-117649.21633749784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48179.347500273878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852910.00109484978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1082013.6095613998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-2865377.3104684222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-3382184.3167597698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49058.676592866643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57907.028846493602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32686.056791019295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37797.858179720104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-74350.392449743653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-79997.029870565049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11019.358222047258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11856.237738616137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10161.415259418043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-15239.993861984547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7519.3201301005465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442961.98399746383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413456.22306654684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318932.62847817387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334899.54068390297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-16465239.422165707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-14299375.303684922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213925.26933415845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185785.19478028058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10809.20917965933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9196.7025974682201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7782.6306093547182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7449.3291039492578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-277424.12401773623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-219618.2273769585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30596.42621695876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24221.155653387919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4063.8596933860977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2925.9789792379902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-70904.215429572942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25249.110953375803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38023.037354695603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48236.559357763814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27376.586895380828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39071.61307978868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-1413345.6960645134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-1668260.4520965745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33387.180763134565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39408.980710968615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927.84252206902363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1072.9486363712924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668.04661588969691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869.08839546074671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-23813.573651233433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-25622.126527311826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4775.1647853057029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5137.8208961731953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348.83419911435578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251.16062336233614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-6086.2867001685454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3940.6126921453565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722583.38300769683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674452.00080808939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161823.03575800019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169924.47779966748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-7089210.0945385583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-6156683.9782488225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107457.98041248927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93322.784558215499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60241.404140316445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51254.654130936353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13491.103069286513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12913.328639498148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-443267.84325196629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-350905.66955158015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52508.17683125849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41567.231253975689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40607.881429595029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9094.1624221768107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-227657.60402645552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77691.371837711937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64280.683609759835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81547.378279523546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14395.702429570072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20545.414133959795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-630652.85176270746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-744399.06282463029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16770.898677093697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19795.742179015411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5359.0474550258386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6197.1536358313933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1200.162290383349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1561.3388264120483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-39432.902356345432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-42427.685500327403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8194.9177713524823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8817.2914781160543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3612.458353765709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809.01248368382153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-20252.315179000871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12125.24300357354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681666.24358917749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636260.35788198875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-1401556.7625198041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-1217193.7281220653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25045.74757996669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21751.189595528846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24219.283422536049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20606.275913320449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-37724.740533545249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-29864.167990319493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4022.0965366134983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3184.0263165202896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12665.403793649248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-15218.776254051163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4819.5656604456844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60640.713808308901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76929.661453004082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-124681.84147502766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-147169.78712748608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3908.8738997635878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4613.8887020818765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2154.5362536001721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2491.4860877014721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-3355.9754728974644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-3610.8494024659017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627.72604906684671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675.39952168612194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1126.7084646489125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-1353.8552979759963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752.18654816204321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122311.56856922057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114164.37754230494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-562404.59566407953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-488424.98913751339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9212.6295495401591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8000.785417389644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19403.411727071914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16508.830948142655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-74349.52157102323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-58857.571206421642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6605.7656279918092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5229.3452951281679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14583.896422630054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-47899.045660440504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11376.699665900886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10880.780579654938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13803.511102842323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-50031.252758787188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-59055.02141389934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1437.8092360554006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1697.1363006584095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1726.1185345643742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1996.0677419117933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-6614.0990576765735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-7116.4154276855252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1030.9576413628836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1109.2550626029447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1297.3766817588239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-4261.0769521050834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1775.5542831174796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1666849.3227890774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1555820.2516659971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-5648307.1262159264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-4905319.7076205099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222056.91007661269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192847.18639970126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310081.75317351293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263824.07976752869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-875622.52539063047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-693172.11528919474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186712.39494001362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147807.78474553581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304965.29453590809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-738149.52335748624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420770.24224480294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260144.11396130113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330022.47762612061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-881527.70177936438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-1040522.3622225323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34656.280763401985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40906.978933269958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48394.262055981795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55962.683587051535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-136657.85078350882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-147036.50930376857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29140.084759424091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31353.16646117426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47595.739609650402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-115202.52676677532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65669.344165373885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610444.4261939266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659548.66396073136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661314.79504342063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714511.05262412573</v>
      </c>
    </row>
    <row r="425" spans="1:10" ht="15.75" hidden="1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>SUMIFS(H3:H424,$F$3:$F$424,$D$425)*H423/SUM(H423:H424)</f>
        <v>-469132.82551179174</v>
      </c>
      <c r="I425" s="316">
        <f t="shared" ref="I425:J425" ca="1" si="0">SUMIFS(I3:I424,$F$3:$F$424,$D$425)*I423/SUM(I423:I424)</f>
        <v>-472893.63203247666</v>
      </c>
      <c r="J425" s="317">
        <f t="shared" ca="1" si="0"/>
        <v>-1116274.2073436431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hidden="1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1329115.7893830882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1206135.7873952007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25463.771576319879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23107.667838715166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118535.6583697202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107567.82876571713</v>
      </c>
    </row>
    <row r="433" spans="1:10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116959.18666245982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106137.22432994761</v>
      </c>
    </row>
    <row r="434" spans="1:10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0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0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0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0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0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0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5160247872.9641237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4923122890.5634422</v>
      </c>
    </row>
    <row r="441" spans="1:10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143291678.15206847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136707103.6323069</v>
      </c>
    </row>
    <row r="442" spans="1:10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68150920.09671548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65019232.215365477</v>
      </c>
    </row>
    <row r="444" spans="1:10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124943353.51064506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119201925.72817004</v>
      </c>
    </row>
    <row r="445" spans="1:10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1461749863.1000643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1394579173.0295696</v>
      </c>
    </row>
    <row r="446" spans="1:10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210568868.50395426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200892755.94747537</v>
      </c>
    </row>
    <row r="447" spans="1:10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1985113980.2530456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1893893533.2475684</v>
      </c>
    </row>
    <row r="450" spans="1:13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142417948.40723878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135873523.7321099</v>
      </c>
    </row>
    <row r="451" spans="1:13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3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3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105721299.124392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100863167.9238362</v>
      </c>
    </row>
    <row r="454" spans="1:13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3500161357.7877212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3339321080.1891551</v>
      </c>
    </row>
    <row r="455" spans="1:13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5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6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130859277.66547085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140281875.98087335</v>
      </c>
      <c r="L458" s="114"/>
      <c r="M458" s="114"/>
    </row>
    <row r="459" spans="1:13" hidden="1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-138793.7123601487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-148787.63425551826</v>
      </c>
      <c r="L459" s="114"/>
      <c r="M459" s="114"/>
    </row>
    <row r="460" spans="1:13" hidden="1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137300477.7223759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14"/>
      <c r="M460" s="114"/>
    </row>
    <row r="461" spans="1:13" hidden="1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-286542.73504246637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14"/>
      <c r="M461" s="114"/>
    </row>
    <row r="462" spans="1:13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81967.284281734363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14"/>
      <c r="M462" s="114"/>
    </row>
    <row r="463" spans="1:13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5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115755047.79489273</v>
      </c>
      <c r="J463" s="256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137002318.90134615</v>
      </c>
      <c r="L463" s="114"/>
      <c r="M463" s="114"/>
    </row>
    <row r="464" spans="1:13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5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6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14"/>
      <c r="M470" s="114"/>
    </row>
    <row r="471" spans="1:13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14"/>
      <c r="M471" s="114"/>
    </row>
    <row r="472" spans="1:13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14"/>
      <c r="M472" s="114"/>
    </row>
    <row r="473" spans="1:13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41428022.148986496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51564125.798275217</v>
      </c>
      <c r="L473" s="126"/>
      <c r="M473" s="114"/>
    </row>
    <row r="474" spans="1:13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61">
        <f ca="1">SUMIFS('Forbrug af biomasse'!$E$1:$E$425,'Forbrug af biomasse'!$A$1:$A$425,"Biogas",'Forbrug af biomasse'!$B$1:$B$425,$A$1,'Forbrug af biomasse'!$D$1:$D$425,I$2)*'[1]Processer - data'!I474</f>
        <v>23970432.839117184</v>
      </c>
      <c r="J474" s="262">
        <f ca="1">SUMIFS('Forbrug af biomasse'!$E$1:$E$425,'Forbrug af biomasse'!$A$1:$A$425,"Biogas",'Forbrug af biomasse'!$B$1:$B$425,$A$1,'Forbrug af biomasse'!$D$1:$D$425,J$2)*'[1]Processer - data'!J474</f>
        <v>27386289.783254456</v>
      </c>
    </row>
    <row r="475" spans="1:13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61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19265393.656305432</v>
      </c>
      <c r="J475" s="262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6884203.1731354501</v>
      </c>
    </row>
    <row r="476" spans="1:13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61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25966993.422671564</v>
      </c>
      <c r="J476" s="262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</row>
    <row r="477" spans="1:13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61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14599.770737204595</v>
      </c>
      <c r="J477" s="262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3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61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3408343.0739607303</v>
      </c>
      <c r="J478" s="262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1344652.3892169157</v>
      </c>
    </row>
    <row r="479" spans="1:13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49011407.308287665</v>
      </c>
      <c r="I479" s="261">
        <f ca="1">I474*'[1]Processer - data'!I$479*Biogasanlæg!AB$3</f>
        <v>135377419.04861787</v>
      </c>
      <c r="J479" s="262">
        <f ca="1">J474*'[1]Processer - data'!J$479*Biogasanlæg!AC$3</f>
        <v>151276181.51008025</v>
      </c>
    </row>
    <row r="480" spans="1:13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Vestdanmark'!H$3:H$504,'Resultater - Vestdanmark'!$F$3:$F$504,"Gødning",'Resultater - Vestdanmark'!$A$3:$A$504,"&lt;&gt;Gødning")-SUM(H475:H479)</f>
        <v>91199509.604784429</v>
      </c>
      <c r="I480" s="261">
        <f ca="1">-SUMIFS('Resultater - Vestdanmark'!I$3:I$504,'Resultater - Vestdanmark'!$F$3:$F$504,"Gødning",'Resultater - Vestdanmark'!$A$3:$A$504,"&lt;&gt;Gødning")-SUM(I475:I479)</f>
        <v>94478684.054178953</v>
      </c>
      <c r="J480" s="262">
        <f ca="1">-SUMIFS('Resultater - Vestdanmark'!J$3:J$504,'Resultater - Vestdanmark'!$F$3:$F$504,"Gødning",'Resultater - Vestdanmark'!$A$3:$A$504,"&lt;&gt;Gødning")-SUM(J475:J479)</f>
        <v>76098534.366943359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5">
        <f>SUMIFS('Forbrug af biomasse'!$E$1:$E$425,'Forbrug af biomasse'!$A$1:$A$425,$F481,'Forbrug af biomasse'!$C$1:$C$425,$D481,'Forbrug af biomasse'!$B$1:$B$425,$A$1,'Forbrug af biomasse'!$D$1:$D$425,I$2)*'[1]Processer - data'!I481</f>
        <v>23.707917223893222</v>
      </c>
      <c r="J481" s="266">
        <f>SUMIFS('Forbrug af biomasse'!$E$1:$E$425,'Forbrug af biomasse'!$A$1:$A$425,$F481,'Forbrug af biomasse'!$C$1:$C$425,$D481,'Forbrug af biomasse'!$B$1:$B$425,$A$1,'Forbrug af biomasse'!$D$1:$D$425,J$2)*'[1]Processer - data'!J481</f>
        <v>27.096788612133071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5.5679093897995475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5.2859792569712818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3.1317380062741718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2.6950992869677113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32.134342362444997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33.155163855017776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hidden="1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hidden="1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12.632071606880629</v>
      </c>
      <c r="I489" s="261">
        <f ca="1">SUM(I455:I473)*'[1]Processer - data'!$H$489</f>
        <v>17.675623452548628</v>
      </c>
      <c r="J489" s="262">
        <f ca="1">SUM(J455:J473)*'[1]Processer - data'!$H$489</f>
        <v>20.218057854314736</v>
      </c>
    </row>
    <row r="490" spans="1:10" hidden="1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hidden="1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idden="1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hidden="1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6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7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248567.38347319412</v>
      </c>
      <c r="J493" s="278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235981.21682907507</v>
      </c>
    </row>
    <row r="494" spans="1:10" hidden="1" x14ac:dyDescent="0.25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159083.12542284423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151027.97877060805</v>
      </c>
    </row>
    <row r="495" spans="1:10" hidden="1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hidden="1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hidden="1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9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80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81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2327318.8289159178</v>
      </c>
      <c r="O3">
        <f>SUMIF($F$3:$F$494,"Roer",J3:J494)</f>
        <v>2337477.1247217245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6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7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8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6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7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8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6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7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8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6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7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8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6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7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8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6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7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8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6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7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8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6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7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8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6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7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8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6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7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8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6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7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8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6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7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8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6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7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8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6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7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-1745.4778517866712</v>
      </c>
      <c r="J17" s="278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-2227.128067320125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6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7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8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6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7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8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6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7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8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6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7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-388.74886678749027</v>
      </c>
      <c r="J21" s="278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-4977.6147844665857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6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7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8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6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7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8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6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7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8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6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7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8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-9774.675970005359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6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7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8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6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7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8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134.37873141535894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6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7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8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70.197844769217355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6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7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8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-1021.5034415379873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6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7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8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-717.26255851061512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6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7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8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6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7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8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6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7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-78558.633013840023</v>
      </c>
      <c r="J33" s="278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-102449.93260582464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6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7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8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6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7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1450.359353356155</v>
      </c>
      <c r="J35" s="278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18584.932348929669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6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7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362.58983833903869</v>
      </c>
      <c r="J36" s="278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4646.2330872324164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6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7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-10162.62615381495</v>
      </c>
      <c r="J37" s="278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-130224.08489252126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6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7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-9146.3635384334557</v>
      </c>
      <c r="J38" s="278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-117201.67640326916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6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7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8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14804.000910544277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6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7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8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5124.461853649942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6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7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8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-3065.2279849443271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6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7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8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-93358.086627161494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6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7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8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682.81985233315891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6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7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8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341.40992616657951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6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7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8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-7689.3734082507035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6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7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8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-4306.0491086203938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6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7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8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6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7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8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6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7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-1745.4778517866712</v>
      </c>
      <c r="J49" s="278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-2226.8666000411622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6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7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8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6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7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8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6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7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8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6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7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-300.39685160851519</v>
      </c>
      <c r="J53" s="278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-3846.3386970878164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6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7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8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6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7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8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6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7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8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6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7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8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-9600.1281848266917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6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7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8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6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7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8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98.669102553257162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6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7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8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53.819510483594826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6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7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8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-934.82857660459536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6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7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8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-182.60802384285103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6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7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8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6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7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8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6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7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-59708.608262944195</v>
      </c>
      <c r="J65" s="278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-78125.460581793945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6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7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8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6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7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368.06516821556829</v>
      </c>
      <c r="J67" s="278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4717.3752719237382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6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7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1288.2280887544882</v>
      </c>
      <c r="J68" s="278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16510.813451733076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6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7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-5077.9049317068211</v>
      </c>
      <c r="J69" s="278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-65081.9072995893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6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7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-2538.9524658534115</v>
      </c>
      <c r="J70" s="278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-32540.953649794665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6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7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8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3811.9541499192064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6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7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8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5041.6167789254023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6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7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8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-27482.79097603913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6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7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8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-26295.262970901636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6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7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8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316.95009619302101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6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7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8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172.88187065073879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6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7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8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-7986.5209835312526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6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7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8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-2186.3552918716778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6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7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8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6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7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8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6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7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8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6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7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8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6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7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8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6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7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8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6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7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8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6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7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8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6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7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8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6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7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8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6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7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8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6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7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8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6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7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8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6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7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8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6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7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8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6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7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8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76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77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1952988.5831660042</v>
      </c>
      <c r="J95" s="278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1744678.8839594168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76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77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2106792.4244348742</v>
      </c>
      <c r="J96" s="278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1882077.697473543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76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77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270075.58773904614</v>
      </c>
      <c r="J97" s="278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241268.78111974653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76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77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22075.109561151701</v>
      </c>
      <c r="J98" s="278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19720.533875316727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76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77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-1205281416.9381351</v>
      </c>
      <c r="J99" s="278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-1076723671.3446317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76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77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-92565.477565356443</v>
      </c>
      <c r="J100" s="278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-82692.257130398822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76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77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157832.58049843548</v>
      </c>
      <c r="J101" s="278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140997.83929614452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76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77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43673.974961465974</v>
      </c>
      <c r="J102" s="278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67237.117600826576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76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77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78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76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77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47339.134513113473</v>
      </c>
      <c r="J104" s="278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72879.717433274796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76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77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1447.8240268074526</v>
      </c>
      <c r="J105" s="278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2228.9593388658977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76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77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-79049908.661767974</v>
      </c>
      <c r="J106" s="278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-121699204.38236851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76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77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-5336.4024749168302</v>
      </c>
      <c r="J107" s="278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-8215.5178475946341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76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77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11386.814719455808</v>
      </c>
      <c r="J108" s="278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17530.270626073881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76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77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78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76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77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78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76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77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78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76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77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78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76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77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78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76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77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78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76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77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78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76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77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78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76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77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78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76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77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78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76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77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78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76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77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78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76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77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78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76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77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78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76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77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78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76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77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78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76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77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78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76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77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78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76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77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78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76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77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78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76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77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78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76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77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78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76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77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78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76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77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78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76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77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78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76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77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78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76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77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78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76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77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78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76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77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78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76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77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78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76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77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78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76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77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78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76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77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2084050.3344257106</v>
      </c>
      <c r="J141" s="278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2039246.8076430438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76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77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916982.14714731264</v>
      </c>
      <c r="J142" s="278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1009427.1697833068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76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77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-44455591.27922909</v>
      </c>
      <c r="J143" s="278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-40473793.862542585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76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77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631740.1718426185</v>
      </c>
      <c r="J144" s="278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575156.48210019176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76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77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37380.741624504</v>
      </c>
      <c r="J145" s="278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31804.321470647974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76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77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16447.52631478176</v>
      </c>
      <c r="J146" s="278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15743.13912797075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76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77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-539893.65561275615</v>
      </c>
      <c r="J147" s="278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-427397.89856976963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76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77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66413.956396181908</v>
      </c>
      <c r="J148" s="278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52575.512055640822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76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77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18866.541727284082</v>
      </c>
      <c r="J149" s="278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76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77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8301.278360004997</v>
      </c>
      <c r="J150" s="278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76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77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-179664.58108942292</v>
      </c>
      <c r="J151" s="278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76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77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73575.69013436354</v>
      </c>
      <c r="J152" s="278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76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77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217921.79508532432</v>
      </c>
      <c r="J153" s="278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289820.22811654169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76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77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95885.589837542706</v>
      </c>
      <c r="J154" s="278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143461.01291768815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76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77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-4648564.429140199</v>
      </c>
      <c r="J155" s="278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-5752184.6428886279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76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77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98595.286934975142</v>
      </c>
      <c r="J156" s="278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122002.89014246491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76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77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3908.7723467472688</v>
      </c>
      <c r="J157" s="278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4520.0687181011817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76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77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1719.8598325687983</v>
      </c>
      <c r="J158" s="278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2237.4340154600854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76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77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-56454.775896154686</v>
      </c>
      <c r="J159" s="278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-60742.307402794533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76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77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10365.183946224923</v>
      </c>
      <c r="J160" s="278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11152.381345135931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76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77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1972.8077447778558</v>
      </c>
      <c r="J161" s="278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76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77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868.03540770225663</v>
      </c>
      <c r="J162" s="278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76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77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-18786.891745130986</v>
      </c>
      <c r="J163" s="278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76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77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11482.911177039396</v>
      </c>
      <c r="J164" s="278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76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77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80624.580909897224</v>
      </c>
      <c r="J165" s="278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78811.842544630956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76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77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-731385.4874893059</v>
      </c>
      <c r="J166" s="278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-665876.76831841504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76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77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8314.7353168252139</v>
      </c>
      <c r="J167" s="278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7570.0012878250072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76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77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668.32024489630624</v>
      </c>
      <c r="J168" s="278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568.04829658669155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76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77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-4925.9143379016141</v>
      </c>
      <c r="J169" s="278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-3899.5187564565722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76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77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403.96777729301078</v>
      </c>
      <c r="J170" s="278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319.79442119759216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76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77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170.17315830973379</v>
      </c>
      <c r="J171" s="278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76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77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-1047.5276548608908</v>
      </c>
      <c r="J172" s="278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76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77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225.77911770185256</v>
      </c>
      <c r="J173" s="278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76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77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7172.3254347012626</v>
      </c>
      <c r="J174" s="278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9529.068234941742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76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77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-65063.714754106462</v>
      </c>
      <c r="J175" s="278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-80510.554714862898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76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77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1297.6754540709871</v>
      </c>
      <c r="J176" s="278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1605.7578489325772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76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77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59.453459936151162</v>
      </c>
      <c r="J177" s="278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68.682203132754523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76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77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-438.20706162026494</v>
      </c>
      <c r="J178" s="278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-471.48726782611277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76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77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63.046994143995903</v>
      </c>
      <c r="J179" s="278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67.835180254034697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76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77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15.138525470443948</v>
      </c>
      <c r="J180" s="278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76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77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-93.187575770572892</v>
      </c>
      <c r="J181" s="278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76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77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35.237203340751556</v>
      </c>
      <c r="J182" s="278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76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77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9783.9656136094072</v>
      </c>
      <c r="J183" s="278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10155.835680921973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76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77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-7744173.8641299726</v>
      </c>
      <c r="J184" s="278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-7033700.8847205834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76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77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1676.9413805428985</v>
      </c>
      <c r="J185" s="278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1523.0939127777801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76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77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870.37705660953077</v>
      </c>
      <c r="J186" s="278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1227.9328596023838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76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77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-688918.12583214056</v>
      </c>
      <c r="J187" s="278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-850438.37969803414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76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77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261.7191749980247</v>
      </c>
      <c r="J188" s="278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323.08052695286244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76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77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106608.02609870829</v>
      </c>
      <c r="J189" s="278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104316.13541177972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76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77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-351889.18939448288</v>
      </c>
      <c r="J190" s="278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-320371.18625984638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76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77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5333.9231193684018</v>
      </c>
      <c r="J191" s="278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4856.1744113576542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76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77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2341.9683848098084</v>
      </c>
      <c r="J192" s="278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1992.5959771691309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76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77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-5153.5416652099848</v>
      </c>
      <c r="J193" s="278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-4079.7161718869015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76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77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686.78219350116785</v>
      </c>
      <c r="J194" s="278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543.67978439085914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76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77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1999.3136675764706</v>
      </c>
      <c r="J195" s="278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76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77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-2828.265475638193</v>
      </c>
      <c r="J196" s="278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76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77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1286.9140372049574</v>
      </c>
      <c r="J197" s="278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76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77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9483.8007032319092</v>
      </c>
      <c r="J198" s="278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12612.769099787905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76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77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-31303.899565208612</v>
      </c>
      <c r="J199" s="278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-38735.788884145048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76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77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832.46198972801631</v>
      </c>
      <c r="J200" s="278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1030.0976024091992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76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77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208.34042452151999</v>
      </c>
      <c r="J201" s="278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240.9229681486313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76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77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-458.45668339642583</v>
      </c>
      <c r="J202" s="278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-493.27477350996162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76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77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107.18566025740772</v>
      </c>
      <c r="J203" s="278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115.32601487078831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76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77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177.85801932949062</v>
      </c>
      <c r="J204" s="278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76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77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-251.60118884434561</v>
      </c>
      <c r="J205" s="278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76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77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200.84785551753669</v>
      </c>
      <c r="J206" s="278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76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77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1239045.2272479183</v>
      </c>
      <c r="J207" s="278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1212407.8686837186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76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77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-3617248.2874223036</v>
      </c>
      <c r="J208" s="278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-3293258.6727998252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76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77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53061.400367151742</v>
      </c>
      <c r="J209" s="278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48308.798032371655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76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77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84980.422510922348</v>
      </c>
      <c r="J210" s="278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72303.131473377405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76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77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-173396.55095893756</v>
      </c>
      <c r="J211" s="278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-137266.5167087118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76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77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21330.035748549595</v>
      </c>
      <c r="J212" s="278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16885.570631500424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76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77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87070.949319648353</v>
      </c>
      <c r="J213" s="278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76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77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-122996.85458029863</v>
      </c>
      <c r="J214" s="278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76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77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47970.758066042312</v>
      </c>
      <c r="J215" s="278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76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77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150834.06061179863</v>
      </c>
      <c r="J216" s="278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200598.39281857893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76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77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-440342.47938216024</v>
      </c>
      <c r="J217" s="278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-544884.61677233479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76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77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8281.2590168387123</v>
      </c>
      <c r="J218" s="278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10247.320794745501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76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77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10345.015595838293</v>
      </c>
      <c r="J219" s="278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11962.881752867897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76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77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-21108.273775694943</v>
      </c>
      <c r="J220" s="278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-22711.369128168677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76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77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3328.9651168256592</v>
      </c>
      <c r="J221" s="278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3581.7877097122109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76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77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10599.504003883205</v>
      </c>
      <c r="J222" s="278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76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77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-14972.911892838667</v>
      </c>
      <c r="J223" s="278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76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77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7486.7657097291467</v>
      </c>
      <c r="J224" s="278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76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77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25011.0032259613</v>
      </c>
      <c r="J225" s="278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24473.309325586044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76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77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10009.584917996119</v>
      </c>
      <c r="J226" s="278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11018.695408532636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76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77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78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76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77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13768.673952842209</v>
      </c>
      <c r="J228" s="278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12535.44166868988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76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77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556.60814878842689</v>
      </c>
      <c r="J229" s="278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473.5739241097595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76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77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222.75861871719212</v>
      </c>
      <c r="J230" s="278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213.21868463998723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76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77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78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76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77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1795.9395424508079</v>
      </c>
      <c r="J232" s="278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1421.7258869816826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76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77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188.69321574877262</v>
      </c>
      <c r="J233" s="278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76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77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75.516393701736774</v>
      </c>
      <c r="J234" s="278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76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77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78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76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77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1336.3771558211863</v>
      </c>
      <c r="J236" s="278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76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77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2224.9672811996788</v>
      </c>
      <c r="J237" s="278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2959.0455820935849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76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77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890.4480455951458</v>
      </c>
      <c r="J238" s="278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1332.260444849855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76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77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78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76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77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2148.8681891719052</v>
      </c>
      <c r="J240" s="278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2659.0330812372476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76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77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49.515603525166988</v>
      </c>
      <c r="J241" s="278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57.25939264236181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76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77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19.816503711315526</v>
      </c>
      <c r="J242" s="278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25.780077324653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76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77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78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76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77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280.2911424634209</v>
      </c>
      <c r="J244" s="278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301.5782184506599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76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77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16.786061216032433</v>
      </c>
      <c r="J245" s="278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76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77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6.7179034628308028</v>
      </c>
      <c r="J246" s="278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76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77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78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76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77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208.56753298943369</v>
      </c>
      <c r="J248" s="278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76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77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2120272.3666309444</v>
      </c>
      <c r="J249" s="278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2074690.127950958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76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77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-3292291.8751634127</v>
      </c>
      <c r="J250" s="278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-2997407.9492886332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76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77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55449.374019831092</v>
      </c>
      <c r="J251" s="278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50482.885713731193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76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77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12517.758857842748</v>
      </c>
      <c r="J252" s="278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10650.372611813169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76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77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-12598.17226614967</v>
      </c>
      <c r="J253" s="278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-9973.1350727972913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76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77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1918.7249568494972</v>
      </c>
      <c r="J254" s="278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1518.926933045944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76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77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4404.8286088494915</v>
      </c>
      <c r="J255" s="278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76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77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-2714.1581574193824</v>
      </c>
      <c r="J256" s="278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76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77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1481.9916710354134</v>
      </c>
      <c r="J257" s="278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76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77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188618.44926271809</v>
      </c>
      <c r="J258" s="278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250848.89728861582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76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77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-292880.76276742725</v>
      </c>
      <c r="J259" s="278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-362413.87023217109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76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77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8653.9485464476275</v>
      </c>
      <c r="J260" s="278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10708.490908973283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76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77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1113.5740394346815</v>
      </c>
      <c r="J261" s="278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1287.7268703374107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76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77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-1120.727579052274</v>
      </c>
      <c r="J262" s="278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-1205.8426951654908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76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77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299.45418401697356</v>
      </c>
      <c r="J263" s="278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322.1966221612609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76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77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391.85151612828713</v>
      </c>
      <c r="J264" s="278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76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77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-241.45025458199012</v>
      </c>
      <c r="J265" s="278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76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77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231.29349779165415</v>
      </c>
      <c r="J266" s="278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76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77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14579.879478444771</v>
      </c>
      <c r="J267" s="278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14266.436943055836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76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77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-224693.49613974305</v>
      </c>
      <c r="J268" s="278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-204568.1540459689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76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77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3154.8481412322071</v>
      </c>
      <c r="J269" s="278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2872.2747726789935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76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77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300.81712710490376</v>
      </c>
      <c r="J270" s="278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255.94154097920685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76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77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-3863.2950800361177</v>
      </c>
      <c r="J271" s="278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-3058.3137653069221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76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77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294.20908139110975</v>
      </c>
      <c r="J272" s="278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232.90576175411474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76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77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171.54393463577347</v>
      </c>
      <c r="J273" s="278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76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77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-1888.3561158897603</v>
      </c>
      <c r="J274" s="278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76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77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384.4382062290137</v>
      </c>
      <c r="J275" s="278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76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77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1297.0193362616476</v>
      </c>
      <c r="J276" s="278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1724.9419212967514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76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77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-19988.629512084659</v>
      </c>
      <c r="J277" s="278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-24734.149534648968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76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77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492.37514342930405</v>
      </c>
      <c r="J278" s="278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609.27040632584715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76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77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26.760552521066295</v>
      </c>
      <c r="J279" s="278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30.945659045667725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76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77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-343.67694382517834</v>
      </c>
      <c r="J280" s="278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-369.77793707801862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76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77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45.917024263352396</v>
      </c>
      <c r="J281" s="278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49.404252493297051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76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77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15.260469098523433</v>
      </c>
      <c r="J282" s="278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76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77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-167.98728684129142</v>
      </c>
      <c r="J283" s="278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76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77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59.999026405684226</v>
      </c>
      <c r="J284" s="278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76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77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365368.49630260066</v>
      </c>
      <c r="J285" s="278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357513.6969538377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76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77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-1628295.8470880429</v>
      </c>
      <c r="J286" s="278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-1482452.6806612848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76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77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26056.871057764576</v>
      </c>
      <c r="J287" s="278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23723.009807037786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76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77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7538.409460440268</v>
      </c>
      <c r="J288" s="278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6413.8373782303861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76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77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-24630.179120331726</v>
      </c>
      <c r="J289" s="278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-19498.074644865439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76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77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3151.0263736701345</v>
      </c>
      <c r="J290" s="278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2494.4580038008457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76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77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4298.8523698269883</v>
      </c>
      <c r="J291" s="278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76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77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-10393.745959660684</v>
      </c>
      <c r="J292" s="278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76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77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3944.1684127256626</v>
      </c>
      <c r="J293" s="278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76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77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32503.012474549269</v>
      </c>
      <c r="J294" s="278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43226.656086236741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76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77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-144852.44558777445</v>
      </c>
      <c r="J295" s="278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-179242.00593450078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76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77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4066.6792980326218</v>
      </c>
      <c r="J296" s="278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5032.1535954322571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76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77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670.6134196310735</v>
      </c>
      <c r="J297" s="278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775.49124664058297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76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77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-2191.0893448665042</v>
      </c>
      <c r="J298" s="278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-2357.4944797882763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76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77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491.77868259591696</v>
      </c>
      <c r="J299" s="278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529.12745535169461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76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77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382.42391891119854</v>
      </c>
      <c r="J300" s="278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76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77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-924.62283421490145</v>
      </c>
      <c r="J301" s="278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76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77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615.56385632134629</v>
      </c>
      <c r="J302" s="278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76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77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328505.37764160649</v>
      </c>
      <c r="J303" s="278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321443.07245526294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76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77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-1103623.8926179989</v>
      </c>
      <c r="J304" s="278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-1004774.5322075558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76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77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15683.146427924519</v>
      </c>
      <c r="J305" s="278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14278.43871545724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76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77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7310.7331386987926</v>
      </c>
      <c r="J306" s="278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6220.1255733481139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76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77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-16629.594736155108</v>
      </c>
      <c r="J307" s="278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-13164.544110511803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76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77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2045.6568959672113</v>
      </c>
      <c r="J308" s="278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1619.4105069429652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76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77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2478.3786375117384</v>
      </c>
      <c r="J309" s="278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76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77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-3717.0486845663731</v>
      </c>
      <c r="J310" s="278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76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77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1522.1944167942595</v>
      </c>
      <c r="J311" s="278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76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77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42553.789092187304</v>
      </c>
      <c r="J312" s="278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56593.462150456879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76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77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-142960.75973161479</v>
      </c>
      <c r="J313" s="278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-176901.21309472423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76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77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2447.6586910633646</v>
      </c>
      <c r="J314" s="278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3028.7597275212329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76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77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947.01462218635811</v>
      </c>
      <c r="J315" s="278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1095.1190782167434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76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77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-2154.157329695006</v>
      </c>
      <c r="J316" s="278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-2317.7576146082893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76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77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319.26437104690592</v>
      </c>
      <c r="J317" s="278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343.5113196545683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76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77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321.04315183027779</v>
      </c>
      <c r="J318" s="278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76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77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-481.49746254989844</v>
      </c>
      <c r="J319" s="278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76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77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237.56791475979776</v>
      </c>
      <c r="J320" s="278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76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77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180850.19946895647</v>
      </c>
      <c r="J321" s="278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176962.22871234283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76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77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130212.14361764863</v>
      </c>
      <c r="J322" s="278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143339.40525699768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76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77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-6722341.7389692813</v>
      </c>
      <c r="J323" s="278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-6120235.1827391293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76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77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87340.288846896408</v>
      </c>
      <c r="J324" s="278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79517.395786744615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76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77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2562.7461024155755</v>
      </c>
      <c r="J325" s="278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2180.4383045050563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76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77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1845.1771937392143</v>
      </c>
      <c r="J326" s="278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1766.1550266490954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76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77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-65774.246822829649</v>
      </c>
      <c r="J327" s="278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-52069.09653379993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76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77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7254.0803616706435</v>
      </c>
      <c r="J328" s="278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5742.5729500663792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76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77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1050.6677999978285</v>
      </c>
      <c r="J329" s="278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76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77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756.48081599843658</v>
      </c>
      <c r="J330" s="278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76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77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-18331.53249783807</v>
      </c>
      <c r="J331" s="278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76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77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6527.8897055573198</v>
      </c>
      <c r="J332" s="278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76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77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15523.846601815052</v>
      </c>
      <c r="J333" s="278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20645.593349773331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76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77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11177.169553306836</v>
      </c>
      <c r="J334" s="278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16722.930613316392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76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77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-577033.38048377947</v>
      </c>
      <c r="J335" s="278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-714027.43798623187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76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77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13631.143346047418</v>
      </c>
      <c r="J336" s="278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16867.32637900643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76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77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219.98138509174163</v>
      </c>
      <c r="J337" s="278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254.38446885892324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76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77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158.38659726605397</v>
      </c>
      <c r="J338" s="278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206.05141977572777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76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77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-5645.9396839249739</v>
      </c>
      <c r="J339" s="278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-6074.7279289433245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76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77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1132.1397096248984</v>
      </c>
      <c r="J340" s="278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1218.1215348625653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76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77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90.187380520044826</v>
      </c>
      <c r="J341" s="278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76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77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64.934913974432277</v>
      </c>
      <c r="J342" s="278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76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77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-1573.5448415774297</v>
      </c>
      <c r="J343" s="278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76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77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1018.8035956650152</v>
      </c>
      <c r="J344" s="278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76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77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542110.38764641772</v>
      </c>
      <c r="J345" s="278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530455.93915692333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76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77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121405.98678001313</v>
      </c>
      <c r="J346" s="278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133645.46083186779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76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77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-5318603.392815995</v>
      </c>
      <c r="J347" s="278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-4842226.8417343404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76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77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80619.19051423193</v>
      </c>
      <c r="J348" s="278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73398.292640921878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76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77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26245.446708182742</v>
      </c>
      <c r="J349" s="278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22330.178267534018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76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77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5877.6854838048566</v>
      </c>
      <c r="J350" s="278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5625.9657866503749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76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77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-193119.04700001352</v>
      </c>
      <c r="J351" s="278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-152879.50507202107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76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77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22876.302045661305</v>
      </c>
      <c r="J352" s="278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18109.646816031141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76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77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19292.311795072797</v>
      </c>
      <c r="J353" s="278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76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77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4320.5262325210433</v>
      </c>
      <c r="J354" s="278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76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77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-108157.36563387123</v>
      </c>
      <c r="J355" s="278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76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77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36910.228175255579</v>
      </c>
      <c r="J356" s="278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76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77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48225.889398140862</v>
      </c>
      <c r="J357" s="278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64136.945370791625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76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77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10800.22044245319</v>
      </c>
      <c r="J358" s="278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16158.951173307649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76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77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-473140.49835513387</v>
      </c>
      <c r="J359" s="278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-585469.24540969741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76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77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12582.185802799204</v>
      </c>
      <c r="J360" s="278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15569.334802619791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76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77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2334.7828025371814</v>
      </c>
      <c r="J361" s="278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2699.9215541654767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76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77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522.8761826344321</v>
      </c>
      <c r="J362" s="278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680.23040874954529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76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77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-17179.781117515653</v>
      </c>
      <c r="J363" s="278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-18484.521976889817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76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77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3570.2899146407817</v>
      </c>
      <c r="J364" s="278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3841.4402337035754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76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77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1716.235135989424</v>
      </c>
      <c r="J365" s="278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76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77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384.35201571386619</v>
      </c>
      <c r="J366" s="278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76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77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-9621.6292318224168</v>
      </c>
      <c r="J367" s="278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76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77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5760.555842380928</v>
      </c>
      <c r="J368" s="278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76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77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134549.98924576739</v>
      </c>
      <c r="J369" s="278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131657.39402040234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76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77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-276644.83770157781</v>
      </c>
      <c r="J370" s="278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-251866.31899555231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76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77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4943.6290842174622</v>
      </c>
      <c r="J371" s="278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4500.8382237168489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76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77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2776.0820160925568</v>
      </c>
      <c r="J372" s="278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2361.948988481679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76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77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-4324.1152898637947</v>
      </c>
      <c r="J373" s="278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-3423.1144760604047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76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77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461.02395630298588</v>
      </c>
      <c r="J374" s="278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364.96200328671159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76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77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1583.0881588934792</v>
      </c>
      <c r="J375" s="278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76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77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-1902.2421134901617</v>
      </c>
      <c r="J376" s="278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76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77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602.41248146284659</v>
      </c>
      <c r="J377" s="278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76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77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11969.504823655261</v>
      </c>
      <c r="J378" s="278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15918.575822466826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76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77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-24610.196833683713</v>
      </c>
      <c r="J379" s="278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-30452.927660371322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76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77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771.54904782584674</v>
      </c>
      <c r="J380" s="278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954.72325957630142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76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77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246.95897241424532</v>
      </c>
      <c r="J381" s="278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285.58110497096658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76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77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-384.67129659539768</v>
      </c>
      <c r="J382" s="278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-413.88565937821244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76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77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71.951715723587398</v>
      </c>
      <c r="J383" s="278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77.416182515363062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76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77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140.83079055127538</v>
      </c>
      <c r="J384" s="278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76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77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-169.22257876655252</v>
      </c>
      <c r="J385" s="278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76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77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94.01813294506853</v>
      </c>
      <c r="J386" s="278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76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77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31198.273186752649</v>
      </c>
      <c r="J387" s="278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30527.563537755221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76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77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-143453.74212974115</v>
      </c>
      <c r="J388" s="278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-130604.88052674409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76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77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2349.8851074928657</v>
      </c>
      <c r="J389" s="278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2139.4106501461033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76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77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2874.0892081690904</v>
      </c>
      <c r="J390" s="278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2445.3355695867021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76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77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-11012.865190180628</v>
      </c>
      <c r="J391" s="278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-8718.1529002656353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76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77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978.46502306687921</v>
      </c>
      <c r="J392" s="278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774.58568059699303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76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77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2355.6500489957248</v>
      </c>
      <c r="J393" s="278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76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77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-7736.8479579832883</v>
      </c>
      <c r="J394" s="278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76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77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1837.6106322178643</v>
      </c>
      <c r="J395" s="278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76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77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2775.3839557463766</v>
      </c>
      <c r="J396" s="278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3691.0599550194943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76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77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-12761.578562871189</v>
      </c>
      <c r="J397" s="278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-15791.317372779056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76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77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366.74507457981139</v>
      </c>
      <c r="J398" s="278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453.81438033402185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76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77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255.67764690012893</v>
      </c>
      <c r="J399" s="278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295.66330068639212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76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77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-979.69939466404549</v>
      </c>
      <c r="J400" s="278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-1054.1039415775722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76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77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152.70841400465747</v>
      </c>
      <c r="J401" s="278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164.30605345996821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76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77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209.55753904071793</v>
      </c>
      <c r="J402" s="278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76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77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-688.26641660903363</v>
      </c>
      <c r="J403" s="278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76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77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286.7947229472968</v>
      </c>
      <c r="J404" s="278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76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77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439343.02121372294</v>
      </c>
      <c r="J405" s="278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429897.89578053559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76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77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-1488763.4314914737</v>
      </c>
      <c r="J406" s="278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-1355417.9013794987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76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77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58529.077836022327</v>
      </c>
      <c r="J407" s="278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53286.746686612882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76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77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47094.327700414084</v>
      </c>
      <c r="J408" s="278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40068.844879368684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76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77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-132987.03883919134</v>
      </c>
      <c r="J409" s="278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-105276.99361900738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76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77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28357.34325880753</v>
      </c>
      <c r="J410" s="278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22448.622597871479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76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77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46317.254630880241</v>
      </c>
      <c r="J411" s="278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76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77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-112108.03341094927</v>
      </c>
      <c r="J412" s="278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76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77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63905.378088374506</v>
      </c>
      <c r="J413" s="278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76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77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68567.985969771791</v>
      </c>
      <c r="J414" s="278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91190.462741325726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76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77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-232350.36214028782</v>
      </c>
      <c r="J415" s="278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-287512.88817140879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76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77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9134.5959628474156</v>
      </c>
      <c r="J416" s="278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11303.249297160308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7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7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7349.9817798334125</v>
      </c>
      <c r="J417" s="27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8499.4519441085085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76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77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-20755.202593399805</v>
      </c>
      <c r="J418" s="278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-22331.48349494096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76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77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4425.7125317214068</v>
      </c>
      <c r="J419" s="278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4761.829035912132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76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77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7228.7044799639698</v>
      </c>
      <c r="J420" s="278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76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77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-17496.62949188226</v>
      </c>
      <c r="J421" s="278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76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77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9973.6717247752149</v>
      </c>
      <c r="J422" s="278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6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7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178235.22139277839</v>
      </c>
      <c r="J423" s="278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181156.38422629872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6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7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193088.1565088433</v>
      </c>
      <c r="J424" s="278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196252.74957849027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5">
        <f ca="1">SUMIFS(H3:H424,$F$3:$F$424,$D$425)*H423/SUM(H423:H424)</f>
        <v>-137317.43481230648</v>
      </c>
      <c r="I425" s="316">
        <f t="shared" ref="I425:J425" ca="1" si="0">SUMIFS(I3:I424,$F$3:$F$424,$D$425)*I423/SUM(I423:I424)</f>
        <v>-135559.93500491785</v>
      </c>
      <c r="J425" s="317">
        <f t="shared" ca="1" si="0"/>
        <v>-250413.3836601582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6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7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78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6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7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78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6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7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78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6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7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78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6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7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192585.04353697354</v>
      </c>
      <c r="J430" s="278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174765.59603194657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6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7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3689.6270413861289</v>
      </c>
      <c r="J431" s="278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3348.2344068927573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6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7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17175.47493616951</v>
      </c>
      <c r="J432" s="278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15586.268067463632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6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7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16947.048733725202</v>
      </c>
      <c r="J433" s="278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15378.977611848217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6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7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78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6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7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78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6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7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78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6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7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78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6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7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78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2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3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284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51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2">
        <f>SUMIFS('Forbrug af biomasse'!$E$1:$E$425,'Forbrug af biomasse'!$A$1:$A$425,$F440,'Forbrug af biomasse'!$C$1:$C$425,$D440,'Forbrug af biomasse'!$B$1:$B$425,$A$1,'Forbrug af biomasse'!$D$1:$D$425,I$2)*'[1]Processer - data'!I440</f>
        <v>630485180.59811664</v>
      </c>
      <c r="J440" s="253">
        <f>SUMIFS('Forbrug af biomasse'!$E$1:$E$425,'Forbrug af biomasse'!$A$1:$A$425,$F440,'Forbrug af biomasse'!$C$1:$C$425,$D440,'Forbrug af biomasse'!$B$1:$B$425,$A$1,'Forbrug af biomasse'!$D$1:$D$425,J$2)*'[1]Processer - data'!J440</f>
        <v>596126454.72628307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4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5">
        <f>SUMIFS('Forbrug af biomasse'!$E$1:$E$425,'Forbrug af biomasse'!$A$1:$A$425,$F441,'Forbrug af biomasse'!$C$1:$C$425,$D441,'Forbrug af biomasse'!$B$1:$B$425,$A$1,'Forbrug af biomasse'!$D$1:$D$425,I$2)*'[1]Processer - data'!I441</f>
        <v>17507546.498152919</v>
      </c>
      <c r="J441" s="256">
        <f>SUMIFS('Forbrug af biomasse'!$E$1:$E$425,'Forbrug af biomasse'!$A$1:$A$425,$F441,'Forbrug af biomasse'!$C$1:$C$425,$D441,'Forbrug af biomasse'!$B$1:$B$425,$A$1,'Forbrug af biomasse'!$D$1:$D$425,J$2)*'[1]Processer - data'!J441</f>
        <v>16553460.645971967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4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5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6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4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5">
        <f>SUMIFS('Forbrug af biomasse'!$E$1:$E$425,'Forbrug af biomasse'!$A$1:$A$425,$F443,'Forbrug af biomasse'!$C$1:$C$425,$D443,'Forbrug af biomasse'!$B$1:$B$425,$A$1,'Forbrug af biomasse'!$D$1:$D$425,I$2)*'[1]Processer - data'!I443</f>
        <v>8326759.919853217</v>
      </c>
      <c r="J443" s="256">
        <f>SUMIFS('Forbrug af biomasse'!$E$1:$E$425,'Forbrug af biomasse'!$A$1:$A$425,$F443,'Forbrug af biomasse'!$C$1:$C$425,$D443,'Forbrug af biomasse'!$B$1:$B$425,$A$1,'Forbrug af biomasse'!$D$1:$D$425,J$2)*'[1]Processer - data'!J443</f>
        <v>7872987.3804013012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4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5">
        <f>SUMIFS('Forbrug af biomasse'!$E$1:$E$425,'Forbrug af biomasse'!$A$1:$A$425,$F444,'Forbrug af biomasse'!$C$1:$C$425,$D444,'Forbrug af biomasse'!$B$1:$B$425,$A$1,'Forbrug af biomasse'!$D$1:$D$425,I$2)*'[1]Processer - data'!I444</f>
        <v>15265726.519730898</v>
      </c>
      <c r="J444" s="256">
        <f>SUMIFS('Forbrug af biomasse'!$E$1:$E$425,'Forbrug af biomasse'!$A$1:$A$425,$F444,'Forbrug af biomasse'!$C$1:$C$425,$D444,'Forbrug af biomasse'!$B$1:$B$425,$A$1,'Forbrug af biomasse'!$D$1:$D$425,J$2)*'[1]Processer - data'!J444</f>
        <v>14433810.197402386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4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5">
        <f>SUMIFS('Forbrug af biomasse'!$E$1:$E$425,'Forbrug af biomasse'!$A$1:$A$425,$F445,'Forbrug af biomasse'!$C$1:$C$425,$D445,'Forbrug af biomasse'!$B$1:$B$425,$A$1,'Forbrug af biomasse'!$D$1:$D$425,I$2)*'[1]Processer - data'!I445</f>
        <v>178598324.94762093</v>
      </c>
      <c r="J445" s="256">
        <f>SUMIFS('Forbrug af biomasse'!$E$1:$E$425,'Forbrug af biomasse'!$A$1:$A$425,$F445,'Forbrug af biomasse'!$C$1:$C$425,$D445,'Forbrug af biomasse'!$B$1:$B$425,$A$1,'Forbrug af biomasse'!$D$1:$D$425,J$2)*'[1]Processer - data'!J445</f>
        <v>168865485.73604327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4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5">
        <f>SUMIFS('Forbrug af biomasse'!$E$1:$E$425,'Forbrug af biomasse'!$A$1:$A$425,$F446,'Forbrug af biomasse'!$C$1:$C$425,$D446,'Forbrug af biomasse'!$B$1:$B$425,$A$1,'Forbrug af biomasse'!$D$1:$D$425,I$2)*'[1]Processer - data'!I446</f>
        <v>25727553.085700322</v>
      </c>
      <c r="J446" s="256">
        <f>SUMIFS('Forbrug af biomasse'!$E$1:$E$425,'Forbrug af biomasse'!$A$1:$A$425,$F446,'Forbrug af biomasse'!$C$1:$C$425,$D446,'Forbrug af biomasse'!$B$1:$B$425,$A$1,'Forbrug af biomasse'!$D$1:$D$425,J$2)*'[1]Processer - data'!J446</f>
        <v>24325512.290727098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4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5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6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4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5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6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4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5">
        <f>SUMIFS('Forbrug af biomasse'!$E$1:$E$425,'Forbrug af biomasse'!$A$1:$A$425,$F449,'Forbrug af biomasse'!$C$1:$C$425,$D449,'Forbrug af biomasse'!$B$1:$B$425,$A$1,'Forbrug af biomasse'!$D$1:$D$425,I$2)*'[1]Processer - data'!I449</f>
        <v>242543570.99880138</v>
      </c>
      <c r="J449" s="256">
        <f>SUMIFS('Forbrug af biomasse'!$E$1:$E$425,'Forbrug af biomasse'!$A$1:$A$425,$F449,'Forbrug af biomasse'!$C$1:$C$425,$D449,'Forbrug af biomasse'!$B$1:$B$425,$A$1,'Forbrug af biomasse'!$D$1:$D$425,J$2)*'[1]Processer - data'!J449</f>
        <v>229325991.38809943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4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5">
        <f>SUMIFS('Forbrug af biomasse'!$E$1:$E$425,'Forbrug af biomasse'!$A$1:$A$425,$F450,'Forbrug af biomasse'!$C$1:$C$425,$D450,'Forbrug af biomasse'!$B$1:$B$425,$A$1,'Forbrug af biomasse'!$D$1:$D$425,I$2)*'[1]Processer - data'!I450</f>
        <v>17400793.165847108</v>
      </c>
      <c r="J450" s="256">
        <f>SUMIFS('Forbrug af biomasse'!$E$1:$E$425,'Forbrug af biomasse'!$A$1:$A$425,$F450,'Forbrug af biomasse'!$C$1:$C$425,$D450,'Forbrug af biomasse'!$B$1:$B$425,$A$1,'Forbrug af biomasse'!$D$1:$D$425,J$2)*'[1]Processer - data'!J450</f>
        <v>16452524.910325797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4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4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4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5">
        <f>SUMIFS('Forbrug af biomasse'!$E$1:$E$425,'Forbrug af biomasse'!$A$1:$A$425,$F453,'Forbrug af biomasse'!$C$1:$C$425,$D453,'Forbrug af biomasse'!$B$1:$B$425,$A$1,'Forbrug af biomasse'!$D$1:$D$425,I$2)*'[1]Processer - data'!I453</f>
        <v>12917153.209003069</v>
      </c>
      <c r="J453" s="256">
        <f>SUMIFS('Forbrug af biomasse'!$E$1:$E$425,'Forbrug af biomasse'!$A$1:$A$425,$F453,'Forbrug af biomasse'!$C$1:$C$425,$D453,'Forbrug af biomasse'!$B$1:$B$425,$A$1,'Forbrug af biomasse'!$D$1:$D$425,J$2)*'[1]Processer - data'!J453</f>
        <v>12213224.013186635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4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5">
        <f>SUMIFS('Forbrug af biomasse'!$E$1:$E$425,'Forbrug af biomasse'!$A$1:$A$425,$F454,'Forbrug af biomasse'!$C$1:$C$425,$D454,'Forbrug af biomasse'!$B$1:$B$425,$A$1,'Forbrug af biomasse'!$D$1:$D$425,I$2)*'[1]Processer - data'!I454</f>
        <v>427653849.21707672</v>
      </c>
      <c r="J454" s="256">
        <f>SUMIFS('Forbrug af biomasse'!$E$1:$E$425,'Forbrug af biomasse'!$A$1:$A$425,$F454,'Forbrug af biomasse'!$C$1:$C$425,$D454,'Forbrug af biomasse'!$B$1:$B$425,$A$1,'Forbrug af biomasse'!$D$1:$D$425,J$2)*'[1]Processer - data'!J454</f>
        <v>404348556.99855918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4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5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6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4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5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6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4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5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6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4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5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18961131.819913868</v>
      </c>
      <c r="J458" s="256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20326439.132714264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60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61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-20110.808517250414</v>
      </c>
      <c r="J459" s="262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-21558.898968585887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4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5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9758495.5009451602</v>
      </c>
      <c r="J460" s="256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60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61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-20365.741162200829</v>
      </c>
      <c r="J461" s="262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4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5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6879.4839146267968</v>
      </c>
      <c r="J462" s="256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4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5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15586994.020227365</v>
      </c>
      <c r="J463" s="256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18476246.787545867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4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5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6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4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5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6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4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5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6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4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5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6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4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5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6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4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5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6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4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5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56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4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5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6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4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5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56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4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5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34861763.89621713</v>
      </c>
      <c r="J473" s="256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43788521.46289213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60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61">
        <f ca="1">SUMIFS('Forbrug af biomasse'!$E$1:$E$425,'Forbrug af biomasse'!$A$1:$A$425,"Biogas",'Forbrug af biomasse'!$B$1:$B$425,$A$1,'Forbrug af biomasse'!$D$1:$D$425,I$2)*'[1]Processer - data'!I474</f>
        <v>4979961.0474174749</v>
      </c>
      <c r="J474" s="262">
        <f ca="1">SUMIFS('Forbrug af biomasse'!$E$1:$E$425,'Forbrug af biomasse'!$A$1:$A$425,"Biogas",'Forbrug af biomasse'!$B$1:$B$425,$A$1,'Forbrug af biomasse'!$D$1:$D$425,J$2)*'[1]Processer - data'!J474</f>
        <v>5931800.6059544124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60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61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2791499.962376208</v>
      </c>
      <c r="J475" s="262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997501.17966097756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60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61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1845578.3453324179</v>
      </c>
      <c r="J476" s="262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60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61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1225.3533690174957</v>
      </c>
      <c r="J477" s="262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60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61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458950.37948447245</v>
      </c>
      <c r="J478" s="262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181340.94069257975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60">
        <f ca="1">H474*'[1]Processer - data'!H$479*Biogasanlæg!AA$3</f>
        <v>12613034.84027173</v>
      </c>
      <c r="I479" s="261">
        <f ca="1">I474*'[1]Processer - data'!I$479*Biogasanlæg!AB$3</f>
        <v>28125244.049070694</v>
      </c>
      <c r="J479" s="262">
        <f ca="1">J474*'[1]Processer - data'!J$479*Biogasanlæg!AC$3</f>
        <v>32766035.5692522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60">
        <f ca="1">-SUMIFS('Resultater - Østdanmark'!H$3:H$504,'Resultater - Østdanmark'!$F$3:$F$504,"Gødning",'Resultater - Østdanmark'!$A$3:$A$504,"&lt;&gt;Gødning")-SUM(H475:H479)</f>
        <v>59971256.963903613</v>
      </c>
      <c r="I480" s="261">
        <f ca="1">-SUMIFS('Resultater - Østdanmark'!I$3:I$504,'Resultater - Østdanmark'!$F$3:$F$504,"Gødning",'Resultater - Østdanmark'!$A$3:$A$504,"&lt;&gt;Gødning")-SUM(I475:I479)</f>
        <v>53627752.412551403</v>
      </c>
      <c r="J480" s="262">
        <f ca="1">-SUMIFS('Resultater - Østdanmark'!J$3:J$504,'Resultater - Østdanmark'!$F$3:$F$504,"Gødning",'Resultater - Østdanmark'!$A$3:$A$504,"&lt;&gt;Gødning")-SUM(J475:J479)</f>
        <v>46230078.485406727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3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5">
        <f>SUMIFS('Forbrug af biomasse'!$E$1:$E$425,'Forbrug af biomasse'!$A$1:$A$425,$F481,'Forbrug af biomasse'!$C$1:$C$425,$D481,'Forbrug af biomasse'!$B$1:$B$425,$A$1,'Forbrug af biomasse'!$D$1:$D$425,I$2)*'[1]Processer - data'!I481</f>
        <v>11.854218719820096</v>
      </c>
      <c r="J481" s="266">
        <f>SUMIFS('Forbrug af biomasse'!$E$1:$E$425,'Forbrug af biomasse'!$A$1:$A$425,$F481,'Forbrug af biomasse'!$C$1:$C$425,$D481,'Forbrug af biomasse'!$B$1:$B$425,$A$1,'Forbrug af biomasse'!$D$1:$D$425,J$2)*'[1]Processer - data'!J481</f>
        <v>13.659127355928229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3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5">
        <f>SUMIFS('Forbrug af biomasse'!$E$1:$E$425,'Forbrug af biomasse'!$A$1:$A$425,$F482,'Forbrug af biomasse'!$C$1:$C$425,$D482,'Forbrug af biomasse'!$B$1:$B$425,$A$1,'Forbrug af biomasse'!$D$1:$D$425,I$2)*'[1]Processer - data'!I482</f>
        <v>2.243333441874523</v>
      </c>
      <c r="J482" s="266">
        <f>SUMIFS('Forbrug af biomasse'!$E$1:$E$425,'Forbrug af biomasse'!$A$1:$A$425,$F482,'Forbrug af biomasse'!$C$1:$C$425,$D482,'Forbrug af biomasse'!$B$1:$B$425,$A$1,'Forbrug af biomasse'!$D$1:$D$425,J$2)*'[1]Processer - data'!J482</f>
        <v>2.240477622157377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3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5">
        <f>SUMIFS('Forbrug af biomasse'!$E$1:$E$425,'Forbrug af biomasse'!$A$1:$A$425,$F483,'Forbrug af biomasse'!$C$1:$C$425,$D483,'Forbrug af biomasse'!$B$1:$B$425,$A$1,'Forbrug af biomasse'!$D$1:$D$425,I$2)*'[1]Processer - data'!I483</f>
        <v>0.72990282117512606</v>
      </c>
      <c r="J483" s="266">
        <f>SUMIFS('Forbrug af biomasse'!$E$1:$E$425,'Forbrug af biomasse'!$A$1:$A$425,$F483,'Forbrug af biomasse'!$C$1:$C$425,$D483,'Forbrug af biomasse'!$B$1:$B$425,$A$1,'Forbrug af biomasse'!$D$1:$D$425,J$2)*'[1]Processer - data'!J483</f>
        <v>0.68005705148007967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3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5">
        <f ca="1">SUMIFS('Forbrug af biomasse'!$E$1:$E$425,'Forbrug af biomasse'!$A$1:$A$425,$F484,'Forbrug af biomasse'!$C$1:$C$425,$D484,'Forbrug af biomasse'!$B$1:$B$425,$A$1,'Forbrug af biomasse'!$D$1:$D$425,I$2)*'[1]Processer - data'!I484</f>
        <v>9.3866998993191597</v>
      </c>
      <c r="J484" s="266">
        <f ca="1">SUMIFS('Forbrug af biomasse'!$E$1:$E$425,'Forbrug af biomasse'!$A$1:$A$425,$F484,'Forbrug af biomasse'!$C$1:$C$425,$D484,'Forbrug af biomasse'!$B$1:$B$425,$A$1,'Forbrug af biomasse'!$D$1:$D$425,J$2)*'[1]Processer - data'!J484</f>
        <v>9.2457157245424533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3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5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66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3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5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6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3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5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6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3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5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6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60">
        <f ca="1">SUM(H455:H473)*'[1]Processer - data'!$H$489</f>
        <v>3.9778561239632375</v>
      </c>
      <c r="I489" s="261">
        <f ca="1">SUM(I455:I473)*'[1]Processer - data'!$H$489</f>
        <v>3.8658304062705384</v>
      </c>
      <c r="J489" s="262">
        <f ca="1">SUM(J455:J473)*'[1]Processer - data'!$H$489</f>
        <v>4.585324935791073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4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5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56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4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5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56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4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5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56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9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80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100148.81436939836</v>
      </c>
      <c r="J493" s="281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100021.32241774006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6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7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64095.241196414951</v>
      </c>
      <c r="J494" s="278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64013.646347353635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51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2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3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4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5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6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7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8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9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51">
        <f>'Resultater - Vestdanmark'!H3+'Resultater - Østdanmark'!H3</f>
        <v>6905432.901678659</v>
      </c>
      <c r="I3" s="252">
        <f>'Resultater - Vestdanmark'!I3+'Resultater - Østdanmark'!I3</f>
        <v>7187550.2724163011</v>
      </c>
      <c r="J3" s="253">
        <f>'Resultater - Vestdanmark'!J3+'Resultater - Østdanmark'!J3</f>
        <v>7494121.763909651</v>
      </c>
      <c r="L3" s="94" t="s">
        <v>111</v>
      </c>
      <c r="M3" s="94">
        <f ca="1">SUMIF($F$3:$F$509,$L$3,H$3:H$509)</f>
        <v>13910380.018766832</v>
      </c>
      <c r="N3" s="94">
        <f ca="1">SUMIF($F$3:$F$509,$L$3,I$3:I$509)</f>
        <v>11635959.929105369</v>
      </c>
      <c r="O3" s="94">
        <f ca="1">SUMIF($F$3:$F$509,$L$3,J$3:J$509)</f>
        <v>5982305.0276574073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4">
        <f ca="1">'Resultater - Vestdanmark'!H4+'Resultater - Østdanmark'!H4</f>
        <v>358674.32551850227</v>
      </c>
      <c r="I4" s="255">
        <f ca="1">'Resultater - Vestdanmark'!I4+'Resultater - Østdanmark'!I4</f>
        <v>363994.97174274386</v>
      </c>
      <c r="J4" s="256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1383287.873779177</v>
      </c>
      <c r="N4" s="94">
        <f t="shared" si="0"/>
        <v>1337078.362473448</v>
      </c>
      <c r="O4" s="94">
        <f t="shared" si="0"/>
        <v>1252601.7206708463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4">
        <f>'Resultater - Vestdanmark'!H5+'Resultater - Østdanmark'!H5</f>
        <v>982809</v>
      </c>
      <c r="I5" s="255">
        <f>'Resultater - Vestdanmark'!I5+'Resultater - Østdanmark'!I5</f>
        <v>982809</v>
      </c>
      <c r="J5" s="256">
        <f>'Resultater - Vestdanmark'!J5+'Resultater - Østdanmark'!J5</f>
        <v>982809</v>
      </c>
      <c r="L5" s="94" t="s">
        <v>168</v>
      </c>
      <c r="M5" s="94">
        <f t="shared" si="0"/>
        <v>4119285.0829287488</v>
      </c>
      <c r="N5" s="94">
        <f t="shared" si="0"/>
        <v>4104323.8031063229</v>
      </c>
      <c r="O5" s="94">
        <f t="shared" si="0"/>
        <v>4076660.8574560597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4">
        <f>'Resultater - Vestdanmark'!H6+'Resultater - Østdanmark'!H6</f>
        <v>355018</v>
      </c>
      <c r="I6" s="255">
        <f>'Resultater - Vestdanmark'!I6+'Resultater - Østdanmark'!I6</f>
        <v>355018</v>
      </c>
      <c r="J6" s="256">
        <f>'Resultater - Vestdanmark'!J6+'Resultater - Østdanmark'!J6</f>
        <v>355018</v>
      </c>
      <c r="L6" s="94" t="s">
        <v>169</v>
      </c>
      <c r="M6" s="94">
        <f t="shared" si="0"/>
        <v>16688.944028790498</v>
      </c>
      <c r="N6" s="94">
        <f t="shared" si="0"/>
        <v>16724.542422002487</v>
      </c>
      <c r="O6" s="94">
        <f t="shared" si="0"/>
        <v>16790.36275477802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4">
        <f>'Resultater - Vestdanmark'!H7+'Resultater - Østdanmark'!H7</f>
        <v>880.09999999999991</v>
      </c>
      <c r="I7" s="255">
        <f>'Resultater - Vestdanmark'!I7+'Resultater - Østdanmark'!I7</f>
        <v>880.09999999999991</v>
      </c>
      <c r="J7" s="256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5640.3218955660459</v>
      </c>
      <c r="O7" s="94">
        <f>SUMIFS(J$3:J$509,$F$3:$F$509,$L$3,$C$3:$C$509,$L7)+SUMIFS(J$3:J$509,$F$3:$F$509,$L$3,$C$3:$C$509,"",$A$3:$A$509,"Grøntsager I drivhus")</f>
        <v>5205.3707655569469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4">
        <f>'Resultater - Vestdanmark'!H8+'Resultater - Østdanmark'!H8</f>
        <v>-142.57619999999997</v>
      </c>
      <c r="I8" s="255">
        <f>'Resultater - Vestdanmark'!I8+'Resultater - Østdanmark'!I8</f>
        <v>-142.57619999999997</v>
      </c>
      <c r="J8" s="256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1390681.8200790717</v>
      </c>
      <c r="O8" s="94">
        <f>SUMIFS(J$3:J$509,$F$3:$F$509,$L$3,$C$3:$C$509,$L8)</f>
        <v>1149606.2154155094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4">
        <f>'Resultater - Vestdanmark'!H9+'Resultater - Østdanmark'!H9</f>
        <v>76.5</v>
      </c>
      <c r="I9" s="255">
        <f>'Resultater - Vestdanmark'!I9+'Resultater - Østdanmark'!I9</f>
        <v>382.5</v>
      </c>
      <c r="J9" s="256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2123929.0919314814</v>
      </c>
      <c r="O9" s="94">
        <f>SUMIFS(J$3:J$509,$F$3:$F$509,$L$3,$C$3:$C$509,$L9)</f>
        <v>0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4">
        <f>'Resultater - Vestdanmark'!H10+'Resultater - Østdanmark'!H10</f>
        <v>-15.861000000000001</v>
      </c>
      <c r="I10" s="255">
        <f>'Resultater - Vestdanmark'!I10+'Resultater - Østdanmark'!I10</f>
        <v>-15.861000000000001</v>
      </c>
      <c r="J10" s="256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4">
        <f>'Resultater - Vestdanmark'!H11+'Resultater - Østdanmark'!H11</f>
        <v>1724391.5316257188</v>
      </c>
      <c r="I11" s="255">
        <f>'Resultater - Vestdanmark'!I11+'Resultater - Østdanmark'!I11</f>
        <v>1631885.8233455163</v>
      </c>
      <c r="J11" s="256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4">
        <f>'Resultater - Vestdanmark'!H12+'Resultater - Østdanmark'!H12</f>
        <v>2113608.4683742807</v>
      </c>
      <c r="I12" s="255">
        <f>'Resultater - Vestdanmark'!I12+'Resultater - Østdanmark'!I12</f>
        <v>2000223.0539784776</v>
      </c>
      <c r="J12" s="256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4">
        <f>'Resultater - Vestdanmark'!H13+'Resultater - Østdanmark'!H13</f>
        <v>-562410</v>
      </c>
      <c r="I13" s="255">
        <f>'Resultater - Vestdanmark'!I13+'Resultater - Østdanmark'!I13</f>
        <v>-532239.27923287847</v>
      </c>
      <c r="J13" s="256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4">
        <f>'Resultater - Vestdanmark'!H14+'Resultater - Østdanmark'!H14</f>
        <v>-1263438.0423418714</v>
      </c>
      <c r="I14" s="255">
        <f>'Resultater - Vestdanmark'!I14+'Resultater - Østdanmark'!I14</f>
        <v>-1195660.3776807606</v>
      </c>
      <c r="J14" s="256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4">
        <f ca="1">'Resultater - Vestdanmark'!H15+'Resultater - Østdanmark'!H15</f>
        <v>0</v>
      </c>
      <c r="I15" s="255">
        <f ca="1">'Resultater - Vestdanmark'!I15+'Resultater - Østdanmark'!I15</f>
        <v>0</v>
      </c>
      <c r="J15" s="256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4">
        <f ca="1">'Resultater - Vestdanmark'!H16+'Resultater - Østdanmark'!H16</f>
        <v>0</v>
      </c>
      <c r="I16" s="255">
        <f ca="1">'Resultater - Vestdanmark'!I16+'Resultater - Østdanmark'!I16</f>
        <v>0</v>
      </c>
      <c r="J16" s="256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4">
        <f ca="1">'Resultater - Vestdanmark'!H17+'Resultater - Østdanmark'!H17</f>
        <v>0</v>
      </c>
      <c r="I17" s="255">
        <f ca="1">'Resultater - Vestdanmark'!I17+'Resultater - Østdanmark'!I17</f>
        <v>-10785.15371121005</v>
      </c>
      <c r="J17" s="256">
        <f ca="1">'Resultater - Vestdanmark'!J17+'Resultater - Østdanmark'!J17</f>
        <v>-14671.279823069774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4">
        <f ca="1">'Resultater - Vestdanmark'!H18+'Resultater - Østdanmark'!H18</f>
        <v>0</v>
      </c>
      <c r="I18" s="255">
        <f ca="1">'Resultater - Vestdanmark'!I18+'Resultater - Østdanmark'!I18</f>
        <v>0</v>
      </c>
      <c r="J18" s="256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4">
        <f ca="1">'Resultater - Vestdanmark'!H19+'Resultater - Østdanmark'!H19</f>
        <v>0</v>
      </c>
      <c r="I19" s="255">
        <f ca="1">'Resultater - Vestdanmark'!I19+'Resultater - Østdanmark'!I19</f>
        <v>0</v>
      </c>
      <c r="J19" s="256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4">
        <f ca="1">'Resultater - Vestdanmark'!H20+'Resultater - Østdanmark'!H20</f>
        <v>0</v>
      </c>
      <c r="I20" s="255">
        <f ca="1">'Resultater - Vestdanmark'!I20+'Resultater - Østdanmark'!I20</f>
        <v>0</v>
      </c>
      <c r="J20" s="256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4">
        <f ca="1">'Resultater - Vestdanmark'!H21+'Resultater - Østdanmark'!H21</f>
        <v>0</v>
      </c>
      <c r="I21" s="255">
        <f ca="1">'Resultater - Vestdanmark'!I21+'Resultater - Østdanmark'!I21</f>
        <v>-2393.6841203703707</v>
      </c>
      <c r="J21" s="256">
        <f ca="1">'Resultater - Vestdanmark'!J21+'Resultater - Østdanmark'!J21</f>
        <v>-32618.767916701869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4">
        <f ca="1">'Resultater - Vestdanmark'!H22+'Resultater - Østdanmark'!H22</f>
        <v>0</v>
      </c>
      <c r="I22" s="255">
        <f ca="1">'Resultater - Vestdanmark'!I22+'Resultater - Østdanmark'!I22</f>
        <v>0</v>
      </c>
      <c r="J22" s="256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4">
        <f ca="1">'Resultater - Vestdanmark'!H23+'Resultater - Østdanmark'!H23</f>
        <v>0</v>
      </c>
      <c r="I23" s="255">
        <f ca="1">'Resultater - Vestdanmark'!I23+'Resultater - Østdanmark'!I23</f>
        <v>0</v>
      </c>
      <c r="J23" s="256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4">
        <f ca="1">'Resultater - Vestdanmark'!H24+'Resultater - Østdanmark'!H24</f>
        <v>0</v>
      </c>
      <c r="I24" s="255">
        <f ca="1">'Resultater - Vestdanmark'!I24+'Resultater - Østdanmark'!I24</f>
        <v>0</v>
      </c>
      <c r="J24" s="256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4">
        <f ca="1">'Resultater - Vestdanmark'!H25+'Resultater - Østdanmark'!H25</f>
        <v>0</v>
      </c>
      <c r="I25" s="255">
        <f ca="1">'Resultater - Vestdanmark'!I25+'Resultater - Østdanmark'!I25</f>
        <v>0</v>
      </c>
      <c r="J25" s="256">
        <f ca="1">'Resultater - Vestdanmark'!J25+'Resultater - Østdanmark'!J25</f>
        <v>-60396.86078277629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4">
        <f ca="1">'Resultater - Vestdanmark'!H26+'Resultater - Østdanmark'!H26</f>
        <v>0</v>
      </c>
      <c r="I26" s="255">
        <f ca="1">'Resultater - Vestdanmark'!I26+'Resultater - Østdanmark'!I26</f>
        <v>0</v>
      </c>
      <c r="J26" s="256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4">
        <f ca="1">'Resultater - Vestdanmark'!H27+'Resultater - Østdanmark'!H27</f>
        <v>0</v>
      </c>
      <c r="I27" s="255">
        <f ca="1">'Resultater - Vestdanmark'!I27+'Resultater - Østdanmark'!I27</f>
        <v>0</v>
      </c>
      <c r="J27" s="256">
        <f ca="1">'Resultater - Vestdanmark'!J27+'Resultater - Østdanmark'!J27</f>
        <v>827.42423961918712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4">
        <f ca="1">'Resultater - Vestdanmark'!H28+'Resultater - Østdanmark'!H28</f>
        <v>0</v>
      </c>
      <c r="I28" s="255">
        <f ca="1">'Resultater - Vestdanmark'!I28+'Resultater - Østdanmark'!I28</f>
        <v>0</v>
      </c>
      <c r="J28" s="256">
        <f ca="1">'Resultater - Vestdanmark'!J28+'Resultater - Østdanmark'!J28</f>
        <v>432.23654308464995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4">
        <f ca="1">'Resultater - Vestdanmark'!H29+'Resultater - Østdanmark'!H29</f>
        <v>0</v>
      </c>
      <c r="I29" s="255">
        <f ca="1">'Resultater - Vestdanmark'!I29+'Resultater - Østdanmark'!I29</f>
        <v>0</v>
      </c>
      <c r="J29" s="256">
        <f ca="1">'Resultater - Vestdanmark'!J29+'Resultater - Østdanmark'!J29</f>
        <v>-6289.8101468931345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4">
        <f ca="1">'Resultater - Vestdanmark'!H30+'Resultater - Østdanmark'!H30</f>
        <v>0</v>
      </c>
      <c r="I30" s="255">
        <f ca="1">'Resultater - Vestdanmark'!I30+'Resultater - Østdanmark'!I30</f>
        <v>0</v>
      </c>
      <c r="J30" s="256">
        <f ca="1">'Resultater - Vestdanmark'!J30+'Resultater - Østdanmark'!J30</f>
        <v>-4416.4758874567406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4">
        <f ca="1">'Resultater - Vestdanmark'!H31+'Resultater - Østdanmark'!H31</f>
        <v>0</v>
      </c>
      <c r="I31" s="255">
        <f ca="1">'Resultater - Vestdanmark'!I31+'Resultater - Østdanmark'!I31</f>
        <v>0</v>
      </c>
      <c r="J31" s="256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4">
        <f ca="1">'Resultater - Vestdanmark'!H32+'Resultater - Østdanmark'!H32</f>
        <v>0</v>
      </c>
      <c r="I32" s="255">
        <f ca="1">'Resultater - Vestdanmark'!I32+'Resultater - Østdanmark'!I32</f>
        <v>0</v>
      </c>
      <c r="J32" s="256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4">
        <f ca="1">'Resultater - Vestdanmark'!H33+'Resultater - Østdanmark'!H33</f>
        <v>0</v>
      </c>
      <c r="I33" s="255">
        <f ca="1">'Resultater - Vestdanmark'!I33+'Resultater - Østdanmark'!I33</f>
        <v>-485406.60437492619</v>
      </c>
      <c r="J33" s="256">
        <f ca="1">'Resultater - Vestdanmark'!J33+'Resultater - Østdanmark'!J33</f>
        <v>-674293.22976003052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4">
        <f ca="1">'Resultater - Vestdanmark'!H34+'Resultater - Østdanmark'!H34</f>
        <v>0</v>
      </c>
      <c r="I34" s="255">
        <f ca="1">'Resultater - Vestdanmark'!I34+'Resultater - Østdanmark'!I34</f>
        <v>0</v>
      </c>
      <c r="J34" s="256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4">
        <f ca="1">'Resultater - Vestdanmark'!H35+'Resultater - Østdanmark'!H35</f>
        <v>0</v>
      </c>
      <c r="I35" s="255">
        <f ca="1">'Resultater - Vestdanmark'!I35+'Resultater - Østdanmark'!I35</f>
        <v>8930.4495769940713</v>
      </c>
      <c r="J35" s="256">
        <f ca="1">'Resultater - Vestdanmark'!J35+'Resultater - Østdanmark'!J35</f>
        <v>121735.43017359043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4">
        <f ca="1">'Resultater - Vestdanmark'!H36+'Resultater - Østdanmark'!H36</f>
        <v>0</v>
      </c>
      <c r="I36" s="255">
        <f ca="1">'Resultater - Vestdanmark'!I36+'Resultater - Østdanmark'!I36</f>
        <v>2232.6123942485174</v>
      </c>
      <c r="J36" s="256">
        <f ca="1">'Resultater - Vestdanmark'!J36+'Resultater - Østdanmark'!J36</f>
        <v>30433.857543397604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4">
        <f ca="1">'Resultater - Vestdanmark'!H37+'Resultater - Østdanmark'!H37</f>
        <v>0</v>
      </c>
      <c r="I37" s="255">
        <f ca="1">'Resultater - Vestdanmark'!I37+'Resultater - Østdanmark'!I37</f>
        <v>-62575.402590035948</v>
      </c>
      <c r="J37" s="256">
        <f ca="1">'Resultater - Vestdanmark'!J37+'Resultater - Østdanmark'!J37</f>
        <v>-852996.64780680381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4">
        <f ca="1">'Resultater - Vestdanmark'!H38+'Resultater - Østdanmark'!H38</f>
        <v>0</v>
      </c>
      <c r="I38" s="255">
        <f ca="1">'Resultater - Vestdanmark'!I38+'Resultater - Østdanmark'!I38</f>
        <v>-56317.86233103236</v>
      </c>
      <c r="J38" s="256">
        <f ca="1">'Resultater - Vestdanmark'!J38+'Resultater - Østdanmark'!J38</f>
        <v>-767696.98302612361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4">
        <f ca="1">'Resultater - Vestdanmark'!H39+'Resultater - Østdanmark'!H39</f>
        <v>0</v>
      </c>
      <c r="I39" s="255">
        <f ca="1">'Resultater - Vestdanmark'!I39+'Resultater - Østdanmark'!I39</f>
        <v>0</v>
      </c>
      <c r="J39" s="256">
        <f ca="1">'Resultater - Vestdanmark'!J39+'Resultater - Østdanmark'!J39</f>
        <v>91473.398670001639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4">
        <f ca="1">'Resultater - Vestdanmark'!H40+'Resultater - Østdanmark'!H40</f>
        <v>0</v>
      </c>
      <c r="I40" s="255">
        <f ca="1">'Resultater - Vestdanmark'!I40+'Resultater - Østdanmark'!I40</f>
        <v>0</v>
      </c>
      <c r="J40" s="256">
        <f ca="1">'Resultater - Vestdanmark'!J40+'Resultater - Østdanmark'!J40</f>
        <v>31663.868770385183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4">
        <f ca="1">'Resultater - Vestdanmark'!H41+'Resultater - Østdanmark'!H41</f>
        <v>0</v>
      </c>
      <c r="I41" s="255">
        <f ca="1">'Resultater - Vestdanmark'!I41+'Resultater - Østdanmark'!I41</f>
        <v>0</v>
      </c>
      <c r="J41" s="256">
        <f ca="1">'Resultater - Vestdanmark'!J41+'Resultater - Østdanmark'!J41</f>
        <v>-18939.935438773871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4">
        <f ca="1">'Resultater - Vestdanmark'!H42+'Resultater - Østdanmark'!H42</f>
        <v>0</v>
      </c>
      <c r="I42" s="255">
        <f ca="1">'Resultater - Vestdanmark'!I42+'Resultater - Østdanmark'!I42</f>
        <v>0</v>
      </c>
      <c r="J42" s="256">
        <f ca="1">'Resultater - Vestdanmark'!J42+'Resultater - Østdanmark'!J42</f>
        <v>-576856.31936379848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4">
        <f ca="1">'Resultater - Vestdanmark'!H43+'Resultater - Østdanmark'!H43</f>
        <v>0</v>
      </c>
      <c r="I43" s="255">
        <f ca="1">'Resultater - Vestdanmark'!I43+'Resultater - Østdanmark'!I43</f>
        <v>0</v>
      </c>
      <c r="J43" s="256">
        <f ca="1">'Resultater - Vestdanmark'!J43+'Resultater - Østdanmark'!J43</f>
        <v>4204.3982047078198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4">
        <f ca="1">'Resultater - Vestdanmark'!H44+'Resultater - Østdanmark'!H44</f>
        <v>0</v>
      </c>
      <c r="I44" s="255">
        <f ca="1">'Resultater - Vestdanmark'!I44+'Resultater - Østdanmark'!I44</f>
        <v>0</v>
      </c>
      <c r="J44" s="256">
        <f ca="1">'Resultater - Vestdanmark'!J44+'Resultater - Østdanmark'!J44</f>
        <v>2102.1991023539103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4">
        <f ca="1">'Resultater - Vestdanmark'!H45+'Resultater - Østdanmark'!H45</f>
        <v>0</v>
      </c>
      <c r="I45" s="255">
        <f ca="1">'Resultater - Vestdanmark'!I45+'Resultater - Østdanmark'!I45</f>
        <v>0</v>
      </c>
      <c r="J45" s="256">
        <f ca="1">'Resultater - Vestdanmark'!J45+'Resultater - Østdanmark'!J45</f>
        <v>-47346.584377285166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4">
        <f ca="1">'Resultater - Vestdanmark'!H46+'Resultater - Østdanmark'!H46</f>
        <v>0</v>
      </c>
      <c r="I46" s="255">
        <f ca="1">'Resultater - Vestdanmark'!I46+'Resultater - Østdanmark'!I46</f>
        <v>0</v>
      </c>
      <c r="J46" s="256">
        <f ca="1">'Resultater - Vestdanmark'!J46+'Resultater - Østdanmark'!J46</f>
        <v>-26514.087251279692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4">
        <f ca="1">'Resultater - Vestdanmark'!H47+'Resultater - Østdanmark'!H47</f>
        <v>0</v>
      </c>
      <c r="I47" s="255">
        <f ca="1">'Resultater - Vestdanmark'!I47+'Resultater - Østdanmark'!I47</f>
        <v>0</v>
      </c>
      <c r="J47" s="256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4">
        <f ca="1">'Resultater - Vestdanmark'!H48+'Resultater - Østdanmark'!H48</f>
        <v>0</v>
      </c>
      <c r="I48" s="255">
        <f ca="1">'Resultater - Vestdanmark'!I48+'Resultater - Østdanmark'!I48</f>
        <v>0</v>
      </c>
      <c r="J48" s="256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4">
        <f ca="1">'Resultater - Vestdanmark'!H49+'Resultater - Østdanmark'!H49</f>
        <v>0</v>
      </c>
      <c r="I49" s="255">
        <f ca="1">'Resultater - Vestdanmark'!I49+'Resultater - Østdanmark'!I49</f>
        <v>-10785.15371121005</v>
      </c>
      <c r="J49" s="256">
        <f ca="1">'Resultater - Vestdanmark'!J49+'Resultater - Østdanmark'!J49</f>
        <v>-14669.66986320334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4">
        <f ca="1">'Resultater - Vestdanmark'!H50+'Resultater - Østdanmark'!H50</f>
        <v>0</v>
      </c>
      <c r="I50" s="255">
        <f ca="1">'Resultater - Vestdanmark'!I50+'Resultater - Østdanmark'!I50</f>
        <v>0</v>
      </c>
      <c r="J50" s="256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4">
        <f ca="1">'Resultater - Vestdanmark'!H51+'Resultater - Østdanmark'!H51</f>
        <v>0</v>
      </c>
      <c r="I51" s="255">
        <f ca="1">'Resultater - Vestdanmark'!I51+'Resultater - Østdanmark'!I51</f>
        <v>0</v>
      </c>
      <c r="J51" s="256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4">
        <f ca="1">'Resultater - Vestdanmark'!H52+'Resultater - Østdanmark'!H52</f>
        <v>0</v>
      </c>
      <c r="I52" s="255">
        <f ca="1">'Resultater - Vestdanmark'!I52+'Resultater - Østdanmark'!I52</f>
        <v>0</v>
      </c>
      <c r="J52" s="256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4">
        <f ca="1">'Resultater - Vestdanmark'!H53+'Resultater - Østdanmark'!H53</f>
        <v>0</v>
      </c>
      <c r="I53" s="255">
        <f ca="1">'Resultater - Vestdanmark'!I53+'Resultater - Østdanmark'!I53</f>
        <v>-1849.6650021043774</v>
      </c>
      <c r="J53" s="256">
        <f ca="1">'Resultater - Vestdanmark'!J53+'Resultater - Østdanmark'!J53</f>
        <v>-25205.411571996898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4">
        <f ca="1">'Resultater - Vestdanmark'!H54+'Resultater - Østdanmark'!H54</f>
        <v>0</v>
      </c>
      <c r="I54" s="255">
        <f ca="1">'Resultater - Vestdanmark'!I54+'Resultater - Østdanmark'!I54</f>
        <v>0</v>
      </c>
      <c r="J54" s="256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4">
        <f ca="1">'Resultater - Vestdanmark'!H55+'Resultater - Østdanmark'!H55</f>
        <v>0</v>
      </c>
      <c r="I55" s="255">
        <f ca="1">'Resultater - Vestdanmark'!I55+'Resultater - Østdanmark'!I55</f>
        <v>0</v>
      </c>
      <c r="J55" s="256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4">
        <f ca="1">'Resultater - Vestdanmark'!H56+'Resultater - Østdanmark'!H56</f>
        <v>0</v>
      </c>
      <c r="I56" s="255">
        <f ca="1">'Resultater - Vestdanmark'!I56+'Resultater - Østdanmark'!I56</f>
        <v>0</v>
      </c>
      <c r="J56" s="256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4">
        <f ca="1">'Resultater - Vestdanmark'!H57+'Resultater - Østdanmark'!H57</f>
        <v>0</v>
      </c>
      <c r="I57" s="255">
        <f ca="1">'Resultater - Vestdanmark'!I57+'Resultater - Østdanmark'!I57</f>
        <v>0</v>
      </c>
      <c r="J57" s="256">
        <f ca="1">'Resultater - Vestdanmark'!J57+'Resultater - Østdanmark'!J57</f>
        <v>-59318.345411655289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4">
        <f ca="1">'Resultater - Vestdanmark'!H58+'Resultater - Østdanmark'!H58</f>
        <v>0</v>
      </c>
      <c r="I58" s="255">
        <f ca="1">'Resultater - Vestdanmark'!I58+'Resultater - Østdanmark'!I58</f>
        <v>0</v>
      </c>
      <c r="J58" s="256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4">
        <f ca="1">'Resultater - Vestdanmark'!H59+'Resultater - Østdanmark'!H59</f>
        <v>0</v>
      </c>
      <c r="I59" s="255">
        <f ca="1">'Resultater - Vestdanmark'!I59+'Resultater - Østdanmark'!I59</f>
        <v>0</v>
      </c>
      <c r="J59" s="256">
        <f ca="1">'Resultater - Vestdanmark'!J59+'Resultater - Østdanmark'!J59</f>
        <v>607.54560110920306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4">
        <f ca="1">'Resultater - Vestdanmark'!H60+'Resultater - Østdanmark'!H60</f>
        <v>0</v>
      </c>
      <c r="I60" s="255">
        <f ca="1">'Resultater - Vestdanmark'!I60+'Resultater - Østdanmark'!I60</f>
        <v>0</v>
      </c>
      <c r="J60" s="256">
        <f ca="1">'Resultater - Vestdanmark'!J60+'Resultater - Østdanmark'!J60</f>
        <v>331.38850969592897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4">
        <f ca="1">'Resultater - Vestdanmark'!H61+'Resultater - Østdanmark'!H61</f>
        <v>0</v>
      </c>
      <c r="I61" s="255">
        <f ca="1">'Resultater - Vestdanmark'!I61+'Resultater - Østdanmark'!I61</f>
        <v>0</v>
      </c>
      <c r="J61" s="256">
        <f ca="1">'Resultater - Vestdanmark'!J61+'Resultater - Østdanmark'!J61</f>
        <v>-5756.11792152204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4">
        <f ca="1">'Resultater - Vestdanmark'!H62+'Resultater - Østdanmark'!H62</f>
        <v>0</v>
      </c>
      <c r="I62" s="255">
        <f ca="1">'Resultater - Vestdanmark'!I62+'Resultater - Østdanmark'!I62</f>
        <v>0</v>
      </c>
      <c r="J62" s="256">
        <f ca="1">'Resultater - Vestdanmark'!J62+'Resultater - Østdanmark'!J62</f>
        <v>-1124.3915140819963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4">
        <f ca="1">'Resultater - Vestdanmark'!H63+'Resultater - Østdanmark'!H63</f>
        <v>0</v>
      </c>
      <c r="I63" s="255">
        <f ca="1">'Resultater - Vestdanmark'!I63+'Resultater - Østdanmark'!I63</f>
        <v>0</v>
      </c>
      <c r="J63" s="256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4">
        <f ca="1">'Resultater - Vestdanmark'!H64+'Resultater - Østdanmark'!H64</f>
        <v>0</v>
      </c>
      <c r="I64" s="255">
        <f ca="1">'Resultater - Vestdanmark'!I64+'Resultater - Østdanmark'!I64</f>
        <v>0</v>
      </c>
      <c r="J64" s="256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4">
        <f ca="1">'Resultater - Vestdanmark'!H65+'Resultater - Østdanmark'!H65</f>
        <v>0</v>
      </c>
      <c r="I65" s="255">
        <f ca="1">'Resultater - Vestdanmark'!I65+'Resultater - Østdanmark'!I65</f>
        <v>-368933.93940367759</v>
      </c>
      <c r="J65" s="256">
        <f ca="1">'Resultater - Vestdanmark'!J65+'Resultater - Østdanmark'!J65</f>
        <v>-514198.15731336805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4">
        <f ca="1">'Resultater - Vestdanmark'!H66+'Resultater - Østdanmark'!H66</f>
        <v>0</v>
      </c>
      <c r="I66" s="255">
        <f ca="1">'Resultater - Vestdanmark'!I66+'Resultater - Østdanmark'!I66</f>
        <v>0</v>
      </c>
      <c r="J66" s="256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4">
        <f ca="1">'Resultater - Vestdanmark'!H67+'Resultater - Østdanmark'!H67</f>
        <v>0</v>
      </c>
      <c r="I67" s="255">
        <f ca="1">'Resultater - Vestdanmark'!I67+'Resultater - Østdanmark'!I67</f>
        <v>2266.3262164585844</v>
      </c>
      <c r="J67" s="256">
        <f ca="1">'Resultater - Vestdanmark'!J67+'Resultater - Østdanmark'!J67</f>
        <v>30894.184497527393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4">
        <f ca="1">'Resultater - Vestdanmark'!H68+'Resultater - Østdanmark'!H68</f>
        <v>0</v>
      </c>
      <c r="I68" s="255">
        <f ca="1">'Resultater - Vestdanmark'!I68+'Resultater - Østdanmark'!I68</f>
        <v>7932.1417576050417</v>
      </c>
      <c r="J68" s="256">
        <f ca="1">'Resultater - Vestdanmark'!J68+'Resultater - Østdanmark'!J68</f>
        <v>108129.64574134581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4">
        <f ca="1">'Resultater - Vestdanmark'!H69+'Resultater - Østdanmark'!H69</f>
        <v>0</v>
      </c>
      <c r="I69" s="255">
        <f ca="1">'Resultater - Vestdanmark'!I69+'Resultater - Østdanmark'!I69</f>
        <v>-31266.715965558018</v>
      </c>
      <c r="J69" s="256">
        <f ca="1">'Resultater - Vestdanmark'!J69+'Resultater - Østdanmark'!J69</f>
        <v>-426222.70556494134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4">
        <f ca="1">'Resultater - Vestdanmark'!H70+'Resultater - Østdanmark'!H70</f>
        <v>0</v>
      </c>
      <c r="I70" s="255">
        <f ca="1">'Resultater - Vestdanmark'!I70+'Resultater - Østdanmark'!I70</f>
        <v>-15633.357982779016</v>
      </c>
      <c r="J70" s="256">
        <f ca="1">'Resultater - Vestdanmark'!J70+'Resultater - Østdanmark'!J70</f>
        <v>-213111.35278247076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4">
        <f ca="1">'Resultater - Vestdanmark'!H71+'Resultater - Østdanmark'!H71</f>
        <v>0</v>
      </c>
      <c r="I71" s="255">
        <f ca="1">'Resultater - Vestdanmark'!I71+'Resultater - Østdanmark'!I71</f>
        <v>0</v>
      </c>
      <c r="J71" s="256">
        <f ca="1">'Resultater - Vestdanmark'!J71+'Resultater - Østdanmark'!J71</f>
        <v>23553.86056416342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4">
        <f ca="1">'Resultater - Vestdanmark'!H72+'Resultater - Østdanmark'!H72</f>
        <v>0</v>
      </c>
      <c r="I72" s="255">
        <f ca="1">'Resultater - Vestdanmark'!I72+'Resultater - Østdanmark'!I72</f>
        <v>0</v>
      </c>
      <c r="J72" s="256">
        <f ca="1">'Resultater - Vestdanmark'!J72+'Resultater - Østdanmark'!J72</f>
        <v>31151.880100990333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4">
        <f ca="1">'Resultater - Vestdanmark'!H73+'Resultater - Østdanmark'!H73</f>
        <v>0</v>
      </c>
      <c r="I73" s="255">
        <f ca="1">'Resultater - Vestdanmark'!I73+'Resultater - Østdanmark'!I73</f>
        <v>0</v>
      </c>
      <c r="J73" s="256">
        <f ca="1">'Resultater - Vestdanmark'!J73+'Resultater - Østdanmark'!J73</f>
        <v>-169814.69375160095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4">
        <f ca="1">'Resultater - Vestdanmark'!H74+'Resultater - Østdanmark'!H74</f>
        <v>0</v>
      </c>
      <c r="I74" s="255">
        <f ca="1">'Resultater - Vestdanmark'!I74+'Resultater - Østdanmark'!I74</f>
        <v>0</v>
      </c>
      <c r="J74" s="256">
        <f ca="1">'Resultater - Vestdanmark'!J74+'Resultater - Østdanmark'!J74</f>
        <v>-162477.02179937129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4">
        <f ca="1">'Resultater - Vestdanmark'!H75+'Resultater - Østdanmark'!H75</f>
        <v>0</v>
      </c>
      <c r="I75" s="255">
        <f ca="1">'Resultater - Vestdanmark'!I75+'Resultater - Østdanmark'!I75</f>
        <v>0</v>
      </c>
      <c r="J75" s="256">
        <f ca="1">'Resultater - Vestdanmark'!J75+'Resultater - Østdanmark'!J75</f>
        <v>1951.5900289989213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4">
        <f ca="1">'Resultater - Vestdanmark'!H76+'Resultater - Østdanmark'!H76</f>
        <v>0</v>
      </c>
      <c r="I76" s="255">
        <f ca="1">'Resultater - Vestdanmark'!I76+'Resultater - Østdanmark'!I76</f>
        <v>0</v>
      </c>
      <c r="J76" s="256">
        <f ca="1">'Resultater - Vestdanmark'!J76+'Resultater - Østdanmark'!J76</f>
        <v>1064.5036521812301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4">
        <f ca="1">'Resultater - Vestdanmark'!H77+'Resultater - Østdanmark'!H77</f>
        <v>0</v>
      </c>
      <c r="I77" s="255">
        <f ca="1">'Resultater - Vestdanmark'!I77+'Resultater - Østdanmark'!I77</f>
        <v>0</v>
      </c>
      <c r="J77" s="256">
        <f ca="1">'Resultater - Vestdanmark'!J77+'Resultater - Østdanmark'!J77</f>
        <v>-49176.242269881506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4">
        <f ca="1">'Resultater - Vestdanmark'!H78+'Resultater - Østdanmark'!H78</f>
        <v>0</v>
      </c>
      <c r="I78" s="255">
        <f ca="1">'Resultater - Vestdanmark'!I78+'Resultater - Østdanmark'!I78</f>
        <v>0</v>
      </c>
      <c r="J78" s="256">
        <f ca="1">'Resultater - Vestdanmark'!J78+'Resultater - Østdanmark'!J78</f>
        <v>-13462.274467546747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4">
        <f ca="1">'Resultater - Vestdanmark'!H79+'Resultater - Østdanmark'!H79</f>
        <v>0</v>
      </c>
      <c r="I79" s="255">
        <f ca="1">'Resultater - Vestdanmark'!I79+'Resultater - Østdanmark'!I79</f>
        <v>0</v>
      </c>
      <c r="J79" s="256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4">
        <f ca="1">'Resultater - Vestdanmark'!H80+'Resultater - Østdanmark'!H80</f>
        <v>0</v>
      </c>
      <c r="I80" s="255">
        <f ca="1">'Resultater - Vestdanmark'!I80+'Resultater - Østdanmark'!I80</f>
        <v>0</v>
      </c>
      <c r="J80" s="256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4">
        <f ca="1">'Resultater - Vestdanmark'!H81+'Resultater - Østdanmark'!H81</f>
        <v>0</v>
      </c>
      <c r="I81" s="255">
        <f ca="1">'Resultater - Vestdanmark'!I81+'Resultater - Østdanmark'!I81</f>
        <v>0</v>
      </c>
      <c r="J81" s="256">
        <f ca="1">'Resultater - Vestdanmark'!J81+'Resultater - Østdanmark'!J81</f>
        <v>0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4">
        <f ca="1">'Resultater - Vestdanmark'!H82+'Resultater - Østdanmark'!H82</f>
        <v>0</v>
      </c>
      <c r="I82" s="255">
        <f ca="1">'Resultater - Vestdanmark'!I82+'Resultater - Østdanmark'!I82</f>
        <v>0</v>
      </c>
      <c r="J82" s="256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4">
        <f ca="1">'Resultater - Vestdanmark'!H83+'Resultater - Østdanmark'!H83</f>
        <v>0</v>
      </c>
      <c r="I83" s="255">
        <f ca="1">'Resultater - Vestdanmark'!I83+'Resultater - Østdanmark'!I83</f>
        <v>0</v>
      </c>
      <c r="J83" s="256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4">
        <f ca="1">'Resultater - Vestdanmark'!H84+'Resultater - Østdanmark'!H84</f>
        <v>0</v>
      </c>
      <c r="I84" s="255">
        <f ca="1">'Resultater - Vestdanmark'!I84+'Resultater - Østdanmark'!I84</f>
        <v>0</v>
      </c>
      <c r="J84" s="256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4">
        <f ca="1">'Resultater - Vestdanmark'!H85+'Resultater - Østdanmark'!H85</f>
        <v>0</v>
      </c>
      <c r="I85" s="255">
        <f ca="1">'Resultater - Vestdanmark'!I85+'Resultater - Østdanmark'!I85</f>
        <v>0</v>
      </c>
      <c r="J85" s="256">
        <f ca="1">'Resultater - Vestdanmark'!J85+'Resultater - Østdanmark'!J85</f>
        <v>0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4">
        <f ca="1">'Resultater - Vestdanmark'!H86+'Resultater - Østdanmark'!H86</f>
        <v>0</v>
      </c>
      <c r="I86" s="255">
        <f ca="1">'Resultater - Vestdanmark'!I86+'Resultater - Østdanmark'!I86</f>
        <v>0</v>
      </c>
      <c r="J86" s="256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4">
        <f ca="1">'Resultater - Vestdanmark'!H87+'Resultater - Østdanmark'!H87</f>
        <v>0</v>
      </c>
      <c r="I87" s="255">
        <f ca="1">'Resultater - Vestdanmark'!I87+'Resultater - Østdanmark'!I87</f>
        <v>0</v>
      </c>
      <c r="J87" s="256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4">
        <f ca="1">'Resultater - Vestdanmark'!H88+'Resultater - Østdanmark'!H88</f>
        <v>0</v>
      </c>
      <c r="I88" s="255">
        <f ca="1">'Resultater - Vestdanmark'!I88+'Resultater - Østdanmark'!I88</f>
        <v>0</v>
      </c>
      <c r="J88" s="256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4">
        <f ca="1">'Resultater - Vestdanmark'!H89+'Resultater - Østdanmark'!H89</f>
        <v>0</v>
      </c>
      <c r="I89" s="255">
        <f ca="1">'Resultater - Vestdanmark'!I89+'Resultater - Østdanmark'!I89</f>
        <v>0</v>
      </c>
      <c r="J89" s="256">
        <f ca="1">'Resultater - Vestdanmark'!J89+'Resultater - Østdanmark'!J89</f>
        <v>0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4">
        <f ca="1">'Resultater - Vestdanmark'!H90+'Resultater - Østdanmark'!H90</f>
        <v>0</v>
      </c>
      <c r="I90" s="255">
        <f ca="1">'Resultater - Vestdanmark'!I90+'Resultater - Østdanmark'!I90</f>
        <v>0</v>
      </c>
      <c r="J90" s="256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4">
        <f ca="1">'Resultater - Vestdanmark'!H91+'Resultater - Østdanmark'!H91</f>
        <v>0</v>
      </c>
      <c r="I91" s="255">
        <f ca="1">'Resultater - Vestdanmark'!I91+'Resultater - Østdanmark'!I91</f>
        <v>0</v>
      </c>
      <c r="J91" s="256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4">
        <f ca="1">'Resultater - Vestdanmark'!H92+'Resultater - Østdanmark'!H92</f>
        <v>0</v>
      </c>
      <c r="I92" s="255">
        <f ca="1">'Resultater - Vestdanmark'!I92+'Resultater - Østdanmark'!I92</f>
        <v>0</v>
      </c>
      <c r="J92" s="256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4">
        <f ca="1">'Resultater - Vestdanmark'!H93+'Resultater - Østdanmark'!H93</f>
        <v>0</v>
      </c>
      <c r="I93" s="255">
        <f ca="1">'Resultater - Vestdanmark'!I93+'Resultater - Østdanmark'!I93</f>
        <v>0</v>
      </c>
      <c r="J93" s="256">
        <f ca="1">'Resultater - Vestdanmark'!J93+'Resultater - Østdanmark'!J93</f>
        <v>0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4">
        <f ca="1">'Resultater - Vestdanmark'!H94+'Resultater - Østdanmark'!H94</f>
        <v>0</v>
      </c>
      <c r="I94" s="255">
        <f ca="1">'Resultater - Vestdanmark'!I94+'Resultater - Østdanmark'!I94</f>
        <v>0</v>
      </c>
      <c r="J94" s="256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4">
        <f>'Resultater - Vestdanmark'!H95+'Resultater - Østdanmark'!H95</f>
        <v>16367972</v>
      </c>
      <c r="I95" s="255">
        <f>'Resultater - Vestdanmark'!I95+'Resultater - Østdanmark'!I95</f>
        <v>15431439.010561198</v>
      </c>
      <c r="J95" s="256">
        <f>'Resultater - Vestdanmark'!J95+'Resultater - Østdanmark'!J95</f>
        <v>13785490.618275298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4">
        <f>'Resultater - Vestdanmark'!H96+'Resultater - Østdanmark'!H96</f>
        <v>17657000</v>
      </c>
      <c r="I96" s="255">
        <f>'Resultater - Vestdanmark'!I96+'Resultater - Østdanmark'!I96</f>
        <v>16646712.165042747</v>
      </c>
      <c r="J96" s="256">
        <f>'Resultater - Vestdanmark'!J96+'Resultater - Østdanmark'!J96</f>
        <v>14871140.28829515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4">
        <f>'Resultater - Vestdanmark'!H97+'Resultater - Østdanmark'!H97</f>
        <v>2263500</v>
      </c>
      <c r="I97" s="255">
        <f>'Resultater - Vestdanmark'!I97+'Resultater - Østdanmark'!I97</f>
        <v>2133988.3890567059</v>
      </c>
      <c r="J97" s="256">
        <f>'Resultater - Vestdanmark'!J97+'Resultater - Østdanmark'!J97</f>
        <v>1906372.8856859079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4">
        <f>'Resultater - Vestdanmark'!H98+'Resultater - Østdanmark'!H98</f>
        <v>185011.20708453766</v>
      </c>
      <c r="I98" s="255">
        <f>'Resultater - Vestdanmark'!I98+'Resultater - Østdanmark'!I98</f>
        <v>174425.34471560377</v>
      </c>
      <c r="J98" s="256">
        <f>'Resultater - Vestdanmark'!J98+'Resultater - Østdanmark'!J98</f>
        <v>155820.7858334363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4">
        <f>'Resultater - Vestdanmark'!H99+'Resultater - Østdanmark'!H99</f>
        <v>-10101447931.960001</v>
      </c>
      <c r="I99" s="255">
        <f>'Resultater - Vestdanmark'!I99+'Resultater - Østdanmark'!I99</f>
        <v>-9523469228.8330078</v>
      </c>
      <c r="J99" s="256">
        <f>'Resultater - Vestdanmark'!J99+'Resultater - Østdanmark'!J99</f>
        <v>-8507676803.029171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4">
        <f>'Resultater - Vestdanmark'!H100+'Resultater - Østdanmark'!H100</f>
        <v>-775790.06759999995</v>
      </c>
      <c r="I100" s="255">
        <f>'Resultater - Vestdanmark'!I100+'Resultater - Østdanmark'!I100</f>
        <v>-731401.36806004716</v>
      </c>
      <c r="J100" s="256">
        <f>'Resultater - Vestdanmark'!J100+'Resultater - Østdanmark'!J100</f>
        <v>-653388.62374953716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4">
        <f>'Resultater - Vestdanmark'!H101+'Resultater - Østdanmark'!H101</f>
        <v>1322792.8112606632</v>
      </c>
      <c r="I101" s="255">
        <f>'Resultater - Vestdanmark'!I101+'Resultater - Østdanmark'!I101</f>
        <v>1247106.0306418969</v>
      </c>
      <c r="J101" s="256">
        <f>'Resultater - Vestdanmark'!J101+'Resultater - Østdanmark'!J101</f>
        <v>1114087.1874387297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4">
        <f>'Resultater - Vestdanmark'!H102+'Resultater - Østdanmark'!H102</f>
        <v>232028</v>
      </c>
      <c r="I102" s="255">
        <f>'Resultater - Vestdanmark'!I102+'Resultater - Østdanmark'!I102</f>
        <v>345087.67064786935</v>
      </c>
      <c r="J102" s="256">
        <f>'Resultater - Vestdanmark'!J102+'Resultater - Østdanmark'!J102</f>
        <v>531270.63232550037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4">
        <f>'Resultater - Vestdanmark'!H103+'Resultater - Østdanmark'!H103</f>
        <v>0</v>
      </c>
      <c r="I103" s="255">
        <f>'Resultater - Vestdanmark'!I103+'Resultater - Østdanmark'!I103</f>
        <v>0</v>
      </c>
      <c r="J103" s="256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4">
        <f>'Resultater - Vestdanmark'!H104+'Resultater - Østdanmark'!H104</f>
        <v>251500.00000000003</v>
      </c>
      <c r="I104" s="255">
        <f>'Resultater - Vestdanmark'!I104+'Resultater - Østdanmark'!I104</f>
        <v>374047.740651728</v>
      </c>
      <c r="J104" s="256">
        <f>'Resultater - Vestdanmark'!J104+'Resultater - Østdanmark'!J104</f>
        <v>575855.34517326939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4">
        <f>'Resultater - Vestdanmark'!H105+'Resultater - Østdanmark'!H105</f>
        <v>7691.8969154623392</v>
      </c>
      <c r="I105" s="255">
        <f>'Resultater - Vestdanmark'!I105+'Resultater - Østdanmark'!I105</f>
        <v>11439.907206976875</v>
      </c>
      <c r="J105" s="256">
        <f>'Resultater - Vestdanmark'!J105+'Resultater - Østdanmark'!J105</f>
        <v>17612.007766563704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4">
        <f>'Resultater - Vestdanmark'!H106+'Resultater - Østdanmark'!H106</f>
        <v>-419970754.27999997</v>
      </c>
      <c r="I106" s="255">
        <f>'Resultater - Vestdanmark'!I106+'Resultater - Østdanmark'!I106</f>
        <v>-624608794.34686291</v>
      </c>
      <c r="J106" s="256">
        <f>'Resultater - Vestdanmark'!J106+'Resultater - Østdanmark'!J106</f>
        <v>-961600014.58682966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4">
        <f>'Resultater - Vestdanmark'!H107+'Resultater - Østdanmark'!H107</f>
        <v>-28350.861000000001</v>
      </c>
      <c r="I107" s="255">
        <f>'Resultater - Vestdanmark'!I107+'Resultater - Østdanmark'!I107</f>
        <v>-42165.310149428195</v>
      </c>
      <c r="J107" s="256">
        <f>'Resultater - Vestdanmark'!J107+'Resultater - Østdanmark'!J107</f>
        <v>-64914.492433854393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4">
        <f>'Resultater - Vestdanmark'!H108+'Resultater - Østdanmark'!H108</f>
        <v>60495.062518513841</v>
      </c>
      <c r="I108" s="255">
        <f>'Resultater - Vestdanmark'!I108+'Resultater - Østdanmark'!I108</f>
        <v>89972.331831551244</v>
      </c>
      <c r="J108" s="256">
        <f>'Resultater - Vestdanmark'!J108+'Resultater - Østdanmark'!J108</f>
        <v>138514.53323211649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4">
        <f>'Resultater - Vestdanmark'!H109+'Resultater - Østdanmark'!H109</f>
        <v>440600</v>
      </c>
      <c r="I109" s="255">
        <f>'Resultater - Vestdanmark'!I109+'Resultater - Østdanmark'!I109</f>
        <v>429380.51670086844</v>
      </c>
      <c r="J109" s="256">
        <f>'Resultater - Vestdanmark'!J109+'Resultater - Østdanmark'!J109</f>
        <v>408636.03759135393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4">
        <f>'Resultater - Vestdanmark'!H110+'Resultater - Østdanmark'!H110</f>
        <v>12785500</v>
      </c>
      <c r="I110" s="255">
        <f>'Resultater - Vestdanmark'!I110+'Resultater - Østdanmark'!I110</f>
        <v>12459928.725099757</v>
      </c>
      <c r="J110" s="256">
        <f>'Resultater - Vestdanmark'!J110+'Resultater - Østdanmark'!J110</f>
        <v>11857957.463967897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4">
        <f>'Resultater - Vestdanmark'!H111+'Resultater - Østdanmark'!H111</f>
        <v>250560.00000000003</v>
      </c>
      <c r="I111" s="255">
        <f>'Resultater - Vestdanmark'!I111+'Resultater - Østdanmark'!I111</f>
        <v>244179.71462680344</v>
      </c>
      <c r="J111" s="256">
        <f>'Resultater - Vestdanmark'!J111+'Resultater - Østdanmark'!J111</f>
        <v>232382.76345639958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4">
        <f>'Resultater - Vestdanmark'!H112+'Resultater - Østdanmark'!H112</f>
        <v>4786000</v>
      </c>
      <c r="I112" s="255">
        <f>'Resultater - Vestdanmark'!I112+'Resultater - Østdanmark'!I112</f>
        <v>4664128.8082849663</v>
      </c>
      <c r="J112" s="256">
        <f>'Resultater - Vestdanmark'!J112+'Resultater - Østdanmark'!J112</f>
        <v>4438792.7278988203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4">
        <f>'Resultater - Vestdanmark'!H113+'Resultater - Østdanmark'!H113</f>
        <v>54522.149641311174</v>
      </c>
      <c r="I113" s="255">
        <f>'Resultater - Vestdanmark'!I113+'Resultater - Østdanmark'!I113</f>
        <v>53133.792066791335</v>
      </c>
      <c r="J113" s="256">
        <f>'Resultater - Vestdanmark'!J113+'Resultater - Østdanmark'!J113</f>
        <v>50566.761666791324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4">
        <f>'Resultater - Vestdanmark'!H114+'Resultater - Østdanmark'!H114</f>
        <v>-3317225912</v>
      </c>
      <c r="I114" s="255">
        <f>'Resultater - Vestdanmark'!I114+'Resultater - Østdanmark'!I114</f>
        <v>-3232755733.3365173</v>
      </c>
      <c r="J114" s="256">
        <f>'Resultater - Vestdanmark'!J114+'Resultater - Østdanmark'!J114</f>
        <v>-3076572974.2965169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4">
        <f>'Resultater - Vestdanmark'!H115+'Resultater - Østdanmark'!H115</f>
        <v>-13874.569799999999</v>
      </c>
      <c r="I115" s="255">
        <f>'Resultater - Vestdanmark'!I115+'Resultater - Østdanmark'!I115</f>
        <v>-13521.266340731423</v>
      </c>
      <c r="J115" s="256">
        <f>'Resultater - Vestdanmark'!J115+'Resultater - Østdanmark'!J115</f>
        <v>-12868.019124731421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4">
        <f>'Resultater - Vestdanmark'!H116+'Resultater - Østdanmark'!H116</f>
        <v>3588024.4873487833</v>
      </c>
      <c r="I116" s="255">
        <f>'Resultater - Vestdanmark'!I116+'Resultater - Østdanmark'!I116</f>
        <v>3496658.6661670199</v>
      </c>
      <c r="J116" s="256">
        <f>'Resultater - Vestdanmark'!J116+'Resultater - Østdanmark'!J116</f>
        <v>3327726.0764660821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4">
        <f>'Resultater - Vestdanmark'!H117+'Resultater - Østdanmark'!H117</f>
        <v>23400.000000000004</v>
      </c>
      <c r="I117" s="255">
        <f>'Resultater - Vestdanmark'!I117+'Resultater - Østdanmark'!I117</f>
        <v>26765.328207443497</v>
      </c>
      <c r="J117" s="256">
        <f>'Resultater - Vestdanmark'!J117+'Resultater - Østdanmark'!J117</f>
        <v>32987.716425747203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4">
        <f>'Resultater - Vestdanmark'!H118+'Resultater - Østdanmark'!H118</f>
        <v>1264500</v>
      </c>
      <c r="I118" s="255">
        <f>'Resultater - Vestdanmark'!I118+'Resultater - Østdanmark'!I118</f>
        <v>1446357.1589022353</v>
      </c>
      <c r="J118" s="256">
        <f>'Resultater - Vestdanmark'!J118+'Resultater - Østdanmark'!J118</f>
        <v>1782605.445314416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4">
        <f>'Resultater - Vestdanmark'!H119+'Resultater - Østdanmark'!H119</f>
        <v>10440.000000000002</v>
      </c>
      <c r="I119" s="255">
        <f>'Resultater - Vestdanmark'!I119+'Resultater - Østdanmark'!I119</f>
        <v>11941.454123320946</v>
      </c>
      <c r="J119" s="256">
        <f>'Resultater - Vestdanmark'!J119+'Resultater - Østdanmark'!J119</f>
        <v>14717.596559179521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4">
        <f>'Resultater - Vestdanmark'!H120+'Resultater - Østdanmark'!H120</f>
        <v>482999.99999999994</v>
      </c>
      <c r="I120" s="255">
        <f>'Resultater - Vestdanmark'!I120+'Resultater - Østdanmark'!I120</f>
        <v>552463.82582030806</v>
      </c>
      <c r="J120" s="256">
        <f>'Resultater - Vestdanmark'!J120+'Resultater - Østdanmark'!J120</f>
        <v>680900.30058273068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4">
        <f>'Resultater - Vestdanmark'!H121+'Resultater - Østdanmark'!H121</f>
        <v>9653.6103586888312</v>
      </c>
      <c r="I121" s="255">
        <f>'Resultater - Vestdanmark'!I121+'Resultater - Østdanmark'!I121</f>
        <v>11041.967933208674</v>
      </c>
      <c r="J121" s="256">
        <f>'Resultater - Vestdanmark'!J121+'Resultater - Østdanmark'!J121</f>
        <v>13608.998333208672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4">
        <f>'Resultater - Vestdanmark'!H122+'Resultater - Østdanmark'!H122</f>
        <v>-587343064</v>
      </c>
      <c r="I122" s="255">
        <f>'Resultater - Vestdanmark'!I122+'Resultater - Østdanmark'!I122</f>
        <v>-671813242.66348267</v>
      </c>
      <c r="J122" s="256">
        <f>'Resultater - Vestdanmark'!J122+'Resultater - Østdanmark'!J122</f>
        <v>-827996001.70348251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4">
        <f>'Resultater - Vestdanmark'!H123+'Resultater - Østdanmark'!H123</f>
        <v>-2961.3935999999999</v>
      </c>
      <c r="I123" s="255">
        <f>'Resultater - Vestdanmark'!I123+'Resultater - Østdanmark'!I123</f>
        <v>-3387.2936604881475</v>
      </c>
      <c r="J123" s="256">
        <f>'Resultater - Vestdanmark'!J123+'Resultater - Østdanmark'!J123</f>
        <v>-4174.7697564881473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4">
        <f>'Resultater - Vestdanmark'!H124+'Resultater - Østdanmark'!H124</f>
        <v>531260.59557996574</v>
      </c>
      <c r="I124" s="255">
        <f>'Resultater - Vestdanmark'!I124+'Resultater - Østdanmark'!I124</f>
        <v>607665.13693930302</v>
      </c>
      <c r="J124" s="256">
        <f>'Resultater - Vestdanmark'!J124+'Resultater - Østdanmark'!J124</f>
        <v>748934.78098997765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4">
        <f>'Resultater - Vestdanmark'!H125+'Resultater - Østdanmark'!H125</f>
        <v>105566999.99999999</v>
      </c>
      <c r="I125" s="255">
        <f>'Resultater - Vestdanmark'!I125+'Resultater - Østdanmark'!I125</f>
        <v>102904851.25711353</v>
      </c>
      <c r="J125" s="256">
        <f>'Resultater - Vestdanmark'!J125+'Resultater - Østdanmark'!J125</f>
        <v>97982620.213951036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4">
        <f>'Resultater - Vestdanmark'!H126+'Resultater - Østdanmark'!H126</f>
        <v>6719.2238038686164</v>
      </c>
      <c r="I126" s="255">
        <f>'Resultater - Vestdanmark'!I126+'Resultater - Østdanmark'!I126</f>
        <v>6549.7809552261278</v>
      </c>
      <c r="J126" s="256">
        <f>'Resultater - Vestdanmark'!J126+'Resultater - Østdanmark'!J126</f>
        <v>6236.4863461782397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4">
        <f>'Resultater - Vestdanmark'!H127+'Resultater - Østdanmark'!H127</f>
        <v>148922.51453359297</v>
      </c>
      <c r="I127" s="255">
        <f>'Resultater - Vestdanmark'!I127+'Resultater - Østdanmark'!I127</f>
        <v>145167.04279665722</v>
      </c>
      <c r="J127" s="256">
        <f>'Resultater - Vestdanmark'!J127+'Resultater - Østdanmark'!J127</f>
        <v>138223.29120702157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4">
        <f>'Resultater - Vestdanmark'!H128+'Resultater - Østdanmark'!H128</f>
        <v>220000</v>
      </c>
      <c r="I128" s="255">
        <f>'Resultater - Vestdanmark'!I128+'Resultater - Østdanmark'!I128</f>
        <v>214452.12307411386</v>
      </c>
      <c r="J128" s="256">
        <f>'Resultater - Vestdanmark'!J128+'Resultater - Østdanmark'!J128</f>
        <v>204194.26948827977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4">
        <f>'Resultater - Vestdanmark'!H129+'Resultater - Østdanmark'!H129</f>
        <v>9291.4831667730468</v>
      </c>
      <c r="I129" s="255">
        <f>'Resultater - Vestdanmark'!I129+'Resultater - Østdanmark'!I129</f>
        <v>9057.1740528266855</v>
      </c>
      <c r="J129" s="256">
        <f>'Resultater - Vestdanmark'!J129+'Resultater - Østdanmark'!J129</f>
        <v>8623.943716826685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4">
        <f>'Resultater - Vestdanmark'!H130+'Resultater - Østdanmark'!H130</f>
        <v>-365582337.12</v>
      </c>
      <c r="I130" s="255">
        <f>'Resultater - Vestdanmark'!I130+'Resultater - Østdanmark'!I130</f>
        <v>-356363219.78991097</v>
      </c>
      <c r="J130" s="256">
        <f>'Resultater - Vestdanmark'!J130+'Resultater - Østdanmark'!J130</f>
        <v>-339317355.75471103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4">
        <f>'Resultater - Vestdanmark'!H131+'Resultater - Østdanmark'!H131</f>
        <v>-8664.776171999998</v>
      </c>
      <c r="I131" s="255">
        <f>'Resultater - Vestdanmark'!I131+'Resultater - Østdanmark'!I131</f>
        <v>-8446.2711183972406</v>
      </c>
      <c r="J131" s="256">
        <f>'Resultater - Vestdanmark'!J131+'Resultater - Østdanmark'!J131</f>
        <v>-8042.2620032772411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4">
        <f>'Resultater - Vestdanmark'!H132+'Resultater - Østdanmark'!H132</f>
        <v>14116.474844810102</v>
      </c>
      <c r="I132" s="255">
        <f>'Resultater - Vestdanmark'!I132+'Resultater - Østdanmark'!I132</f>
        <v>13760.490912690218</v>
      </c>
      <c r="J132" s="256">
        <f>'Resultater - Vestdanmark'!J132+'Resultater - Østdanmark'!J132</f>
        <v>13102.287584934891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4">
        <f>'Resultater - Vestdanmark'!H133+'Resultater - Østdanmark'!H133</f>
        <v>1224707</v>
      </c>
      <c r="I133" s="255">
        <f>'Resultater - Vestdanmark'!I133+'Resultater - Østdanmark'!I133</f>
        <v>1411132.4071133996</v>
      </c>
      <c r="J133" s="256">
        <f>'Resultater - Vestdanmark'!J133+'Resultater - Østdanmark'!J133</f>
        <v>1755827.2437861352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4">
        <f>'Resultater - Vestdanmark'!H134+'Resultater - Østdanmark'!H134</f>
        <v>2163.7761961313831</v>
      </c>
      <c r="I134" s="255">
        <f>'Resultater - Vestdanmark'!I134+'Resultater - Østdanmark'!I134</f>
        <v>2493.1471054722101</v>
      </c>
      <c r="J134" s="256">
        <f>'Resultater - Vestdanmark'!J134+'Resultater - Østdanmark'!J134</f>
        <v>3102.1437736727353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4">
        <f>'Resultater - Vestdanmark'!H135+'Resultater - Østdanmark'!H135</f>
        <v>8147.4854664070526</v>
      </c>
      <c r="I135" s="255">
        <f>'Resultater - Vestdanmark'!I135+'Resultater - Østdanmark'!I135</f>
        <v>9387.6990807862003</v>
      </c>
      <c r="J135" s="256">
        <f>'Resultater - Vestdanmark'!J135+'Resultater - Østdanmark'!J135</f>
        <v>11680.815860666338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4">
        <f>'Resultater - Vestdanmark'!H136+'Resultater - Østdanmark'!H136</f>
        <v>15000</v>
      </c>
      <c r="I136" s="255">
        <f>'Resultater - Vestdanmark'!I136+'Resultater - Østdanmark'!I136</f>
        <v>17283.306216671408</v>
      </c>
      <c r="J136" s="256">
        <f>'Resultater - Vestdanmark'!J136+'Resultater - Østdanmark'!J136</f>
        <v>21505.069095540424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4">
        <f>'Resultater - Vestdanmark'!H137+'Resultater - Østdanmark'!H137</f>
        <v>1539.2752332269538</v>
      </c>
      <c r="I137" s="255">
        <f>'Resultater - Vestdanmark'!I137+'Resultater - Østdanmark'!I137</f>
        <v>1773.5843471733165</v>
      </c>
      <c r="J137" s="256">
        <f>'Resultater - Vestdanmark'!J137+'Resultater - Østdanmark'!J137</f>
        <v>2206.8146831733166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4">
        <f>'Resultater - Vestdanmark'!H138+'Resultater - Østdanmark'!H138</f>
        <v>-60564263.759999998</v>
      </c>
      <c r="I138" s="255">
        <f>'Resultater - Vestdanmark'!I138+'Resultater - Østdanmark'!I138</f>
        <v>-69783381.090089008</v>
      </c>
      <c r="J138" s="256">
        <f>'Resultater - Vestdanmark'!J138+'Resultater - Østdanmark'!J138</f>
        <v>-86829245.125289008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4">
        <f>'Resultater - Vestdanmark'!H139+'Resultater - Østdanmark'!H139</f>
        <v>-2703.7617749999999</v>
      </c>
      <c r="I139" s="255">
        <f>'Resultater - Vestdanmark'!I139+'Resultater - Østdanmark'!I139</f>
        <v>-3115.3295129504022</v>
      </c>
      <c r="J139" s="256">
        <f>'Resultater - Vestdanmark'!J139+'Resultater - Østdanmark'!J139</f>
        <v>-3876.3055859504016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4">
        <f>'Resultater - Vestdanmark'!H140+'Resultater - Østdanmark'!H140</f>
        <v>2572.4691839803959</v>
      </c>
      <c r="I140" s="255">
        <f>'Resultater - Vestdanmark'!I140+'Resultater - Østdanmark'!I140</f>
        <v>2964.0515093122676</v>
      </c>
      <c r="J140" s="256">
        <f>'Resultater - Vestdanmark'!J140+'Resultater - Østdanmark'!J140</f>
        <v>3688.0751698431277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4">
        <f>'Resultater - Vestdanmark'!H141+'Resultater - Østdanmark'!H141</f>
        <v>8028892.7421747725</v>
      </c>
      <c r="I141" s="255">
        <f>'Resultater - Vestdanmark'!I141+'Resultater - Østdanmark'!I141</f>
        <v>8158035.8814622127</v>
      </c>
      <c r="J141" s="256">
        <f>'Resultater - Vestdanmark'!J141+'Resultater - Østdanmark'!J141</f>
        <v>7708643.31109758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4">
        <f>'Resultater - Vestdanmark'!H142+'Resultater - Østdanmark'!H142</f>
        <v>2620610.5188139905</v>
      </c>
      <c r="I142" s="255">
        <f>'Resultater - Vestdanmark'!I142+'Resultater - Østdanmark'!I142</f>
        <v>3589535.7878433736</v>
      </c>
      <c r="J142" s="256">
        <f>'Resultater - Vestdanmark'!J142+'Resultater - Østdanmark'!J142</f>
        <v>3815778.4389933026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4">
        <f>'Resultater - Vestdanmark'!H143+'Resultater - Østdanmark'!H143</f>
        <v>-183255754.45762676</v>
      </c>
      <c r="I143" s="255">
        <f>'Resultater - Vestdanmark'!I143+'Resultater - Østdanmark'!I143</f>
        <v>-174021856.76456249</v>
      </c>
      <c r="J143" s="256">
        <f>'Resultater - Vestdanmark'!J143+'Resultater - Østdanmark'!J143</f>
        <v>-152996704.05949426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4">
        <f>'Resultater - Vestdanmark'!H144+'Resultater - Østdanmark'!H144</f>
        <v>2604172.3544975286</v>
      </c>
      <c r="I144" s="255">
        <f>'Resultater - Vestdanmark'!I144+'Resultater - Østdanmark'!I144</f>
        <v>2472953.2221559207</v>
      </c>
      <c r="J144" s="256">
        <f>'Resultater - Vestdanmark'!J144+'Resultater - Østdanmark'!J144</f>
        <v>2174173.40164945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4">
        <f>'Resultater - Vestdanmark'!H145+'Resultater - Østdanmark'!H145</f>
        <v>228280.18071014562</v>
      </c>
      <c r="I145" s="255">
        <f>'Resultater - Vestdanmark'!I145+'Resultater - Østdanmark'!I145</f>
        <v>224990.0315858915</v>
      </c>
      <c r="J145" s="256">
        <f>'Resultater - Vestdanmark'!J145+'Resultater - Østdanmark'!J145</f>
        <v>191426.25269794607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4">
        <f>'Resultater - Vestdanmark'!H146+'Resultater - Østdanmark'!H146</f>
        <v>74510.080283339761</v>
      </c>
      <c r="I146" s="255">
        <f>'Resultater - Vestdanmark'!I146+'Resultater - Østdanmark'!I146</f>
        <v>98995.613897792282</v>
      </c>
      <c r="J146" s="256">
        <f>'Resultater - Vestdanmark'!J146+'Resultater - Østdanmark'!J146</f>
        <v>94755.995085483315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4">
        <f>'Resultater - Vestdanmark'!H147+'Resultater - Østdanmark'!H147</f>
        <v>-3527867.7475414807</v>
      </c>
      <c r="I147" s="255">
        <f>'Resultater - Vestdanmark'!I147+'Resultater - Østdanmark'!I147</f>
        <v>-3249552.7202089913</v>
      </c>
      <c r="J147" s="256">
        <f>'Resultater - Vestdanmark'!J147+'Resultater - Østdanmark'!J147</f>
        <v>-2572454.759322396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4">
        <f>'Resultater - Vestdanmark'!H148+'Resultater - Østdanmark'!H148</f>
        <v>433973.71375071316</v>
      </c>
      <c r="I148" s="255">
        <f>'Resultater - Vestdanmark'!I148+'Resultater - Østdanmark'!I148</f>
        <v>399737.33794317831</v>
      </c>
      <c r="J148" s="256">
        <f>'Resultater - Vestdanmark'!J148+'Resultater - Østdanmark'!J148</f>
        <v>316445.46373282402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4">
        <f>'Resultater - Vestdanmark'!H149+'Resultater - Østdanmark'!H149</f>
        <v>135901.60941201358</v>
      </c>
      <c r="I149" s="255">
        <f>'Resultater - Vestdanmark'!I149+'Resultater - Østdanmark'!I149</f>
        <v>105699.31462374478</v>
      </c>
      <c r="J149" s="256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4">
        <f>'Resultater - Vestdanmark'!H150+'Resultater - Østdanmark'!H150</f>
        <v>44357.945558057712</v>
      </c>
      <c r="I150" s="255">
        <f>'Resultater - Vestdanmark'!I150+'Resultater - Østdanmark'!I150</f>
        <v>46507.698434447702</v>
      </c>
      <c r="J150" s="256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4">
        <f>'Resultater - Vestdanmark'!H151+'Resultater - Østdanmark'!H151</f>
        <v>-1384772.8694927006</v>
      </c>
      <c r="I151" s="255">
        <f>'Resultater - Vestdanmark'!I151+'Resultater - Østdanmark'!I151</f>
        <v>-1006566.1930957376</v>
      </c>
      <c r="J151" s="256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4">
        <f>'Resultater - Vestdanmark'!H152+'Resultater - Østdanmark'!H152</f>
        <v>567087.95319850883</v>
      </c>
      <c r="I152" s="255">
        <f>'Resultater - Vestdanmark'!I152+'Resultater - Østdanmark'!I152</f>
        <v>412205.91100299987</v>
      </c>
      <c r="J152" s="256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4">
        <f>'Resultater - Vestdanmark'!H153+'Resultater - Østdanmark'!H153</f>
        <v>687812.87730450777</v>
      </c>
      <c r="I153" s="255">
        <f>'Resultater - Vestdanmark'!I153+'Resultater - Østdanmark'!I153</f>
        <v>853057.04679567297</v>
      </c>
      <c r="J153" s="256">
        <f>'Resultater - Vestdanmark'!J153+'Resultater - Østdanmark'!J153</f>
        <v>1095561.7311832621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4">
        <f>'Resultater - Vestdanmark'!H154+'Resultater - Østdanmark'!H154</f>
        <v>224500.40361999813</v>
      </c>
      <c r="I154" s="255">
        <f>'Resultater - Vestdanmark'!I154+'Resultater - Østdanmark'!I154</f>
        <v>375345.1005900962</v>
      </c>
      <c r="J154" s="256">
        <f>'Resultater - Vestdanmark'!J154+'Resultater - Østdanmark'!J154</f>
        <v>542303.05693571479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4">
        <f>'Resultater - Vestdanmark'!H155+'Resultater - Østdanmark'!H155</f>
        <v>-15699010.038333988</v>
      </c>
      <c r="I155" s="255">
        <f>'Resultater - Vestdanmark'!I155+'Resultater - Østdanmark'!I155</f>
        <v>-18196851.958791535</v>
      </c>
      <c r="J155" s="256">
        <f>'Resultater - Vestdanmark'!J155+'Resultater - Østdanmark'!J155</f>
        <v>-21744077.031485699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4">
        <f>'Resultater - Vestdanmark'!H156+'Resultater - Østdanmark'!H156</f>
        <v>332973.42070203071</v>
      </c>
      <c r="I156" s="255">
        <f>'Resultater - Vestdanmark'!I156+'Resultater - Østdanmark'!I156</f>
        <v>385952.23698387202</v>
      </c>
      <c r="J156" s="256">
        <f>'Resultater - Vestdanmark'!J156+'Resultater - Østdanmark'!J156</f>
        <v>461188.29731958028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4">
        <f>'Resultater - Vestdanmark'!H157+'Resultater - Østdanmark'!H157</f>
        <v>19556.127223005868</v>
      </c>
      <c r="I157" s="255">
        <f>'Resultater - Vestdanmark'!I157+'Resultater - Østdanmark'!I157</f>
        <v>23526.414285484265</v>
      </c>
      <c r="J157" s="256">
        <f>'Resultater - Vestdanmark'!J157+'Resultater - Østdanmark'!J157</f>
        <v>27205.731065253549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4">
        <f>'Resultater - Vestdanmark'!H158+'Resultater - Østdanmark'!H158</f>
        <v>6383.0710352710576</v>
      </c>
      <c r="I158" s="255">
        <f>'Resultater - Vestdanmark'!I158+'Resultater - Østdanmark'!I158</f>
        <v>10351.622285613077</v>
      </c>
      <c r="J158" s="256">
        <f>'Resultater - Vestdanmark'!J158+'Resultater - Østdanmark'!J158</f>
        <v>13466.836877300508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4">
        <f>'Resultater - Vestdanmark'!H159+'Resultater - Østdanmark'!H159</f>
        <v>-302222.60330370459</v>
      </c>
      <c r="I159" s="255">
        <f>'Resultater - Vestdanmark'!I159+'Resultater - Østdanmark'!I159</f>
        <v>-339794.26999179571</v>
      </c>
      <c r="J159" s="256">
        <f>'Resultater - Vestdanmark'!J159+'Resultater - Østdanmark'!J159</f>
        <v>-365600.38852187997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4">
        <f>'Resultater - Vestdanmark'!H160+'Resultater - Østdanmark'!H160</f>
        <v>55488.536199525202</v>
      </c>
      <c r="I160" s="255">
        <f>'Resultater - Vestdanmark'!I160+'Resultater - Østdanmark'!I160</f>
        <v>62386.752164542282</v>
      </c>
      <c r="J160" s="256">
        <f>'Resultater - Vestdanmark'!J160+'Resultater - Østdanmark'!J160</f>
        <v>67124.795337265707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4">
        <f>'Resultater - Vestdanmark'!H161+'Resultater - Østdanmark'!H161</f>
        <v>11642.312333926018</v>
      </c>
      <c r="I161" s="255">
        <f>'Resultater - Vestdanmark'!I161+'Resultater - Østdanmark'!I161</f>
        <v>11052.604633199671</v>
      </c>
      <c r="J161" s="256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4">
        <f>'Resultater - Vestdanmark'!H162+'Resultater - Østdanmark'!H162</f>
        <v>3800.0216400126183</v>
      </c>
      <c r="I162" s="255">
        <f>'Resultater - Vestdanmark'!I162+'Resultater - Østdanmark'!I162</f>
        <v>4863.1460386078561</v>
      </c>
      <c r="J162" s="256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4">
        <f>'Resultater - Vestdanmark'!H163+'Resultater - Østdanmark'!H163</f>
        <v>-118629.63454173651</v>
      </c>
      <c r="I163" s="255">
        <f>'Resultater - Vestdanmark'!I163+'Resultater - Østdanmark'!I163</f>
        <v>-105253.07764798784</v>
      </c>
      <c r="J163" s="256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4">
        <f>'Resultater - Vestdanmark'!H164+'Resultater - Østdanmark'!H164</f>
        <v>72508.724428055051</v>
      </c>
      <c r="I164" s="255">
        <f>'Resultater - Vestdanmark'!I164+'Resultater - Østdanmark'!I164</f>
        <v>64332.714433994217</v>
      </c>
      <c r="J164" s="256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4">
        <f>'Resultater - Vestdanmark'!H165+'Resultater - Østdanmark'!H165</f>
        <v>229792.23730502045</v>
      </c>
      <c r="I165" s="255">
        <f>'Resultater - Vestdanmark'!I165+'Resultater - Østdanmark'!I165</f>
        <v>233678.91484242759</v>
      </c>
      <c r="J165" s="256">
        <f>'Resultater - Vestdanmark'!J165+'Resultater - Østdanmark'!J165</f>
        <v>221527.33903683536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4">
        <f>'Resultater - Vestdanmark'!H166+'Resultater - Østdanmark'!H166</f>
        <v>-2229300.7257745154</v>
      </c>
      <c r="I166" s="255">
        <f>'Resultater - Vestdanmark'!I166+'Resultater - Østdanmark'!I166</f>
        <v>-2119817.1217659079</v>
      </c>
      <c r="J166" s="256">
        <f>'Resultater - Vestdanmark'!J166+'Resultater - Østdanmark'!J166</f>
        <v>-1871671.8687104834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4">
        <f>'Resultater - Vestdanmark'!H167+'Resultater - Østdanmark'!H167</f>
        <v>25343.742518123829</v>
      </c>
      <c r="I167" s="255">
        <f>'Resultater - Vestdanmark'!I167+'Resultater - Østdanmark'!I167</f>
        <v>24099.081249291929</v>
      </c>
      <c r="J167" s="256">
        <f>'Resultater - Vestdanmark'!J167+'Resultater - Østdanmark'!J167</f>
        <v>21278.04892834006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4">
        <f>'Resultater - Vestdanmark'!H168+'Resultater - Østdanmark'!H168</f>
        <v>2895.9534319120221</v>
      </c>
      <c r="I168" s="255">
        <f>'Resultater - Vestdanmark'!I168+'Resultater - Østdanmark'!I168</f>
        <v>2853.0798367612419</v>
      </c>
      <c r="J168" s="256">
        <f>'Resultater - Vestdanmark'!J168+'Resultater - Østdanmark'!J168</f>
        <v>2425.015781991639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4">
        <f>'Resultater - Vestdanmark'!H169+'Resultater - Østdanmark'!H169</f>
        <v>-22826.968918399438</v>
      </c>
      <c r="I169" s="255">
        <f>'Resultater - Vestdanmark'!I169+'Resultater - Østdanmark'!I169</f>
        <v>-21028.880962989177</v>
      </c>
      <c r="J169" s="256">
        <f>'Resultater - Vestdanmark'!J169+'Resultater - Østdanmark'!J169</f>
        <v>-16647.166417717493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4">
        <f>'Resultater - Vestdanmark'!H170+'Resultater - Østdanmark'!H170</f>
        <v>1872.0097963032511</v>
      </c>
      <c r="I170" s="255">
        <f>'Resultater - Vestdanmark'!I170+'Resultater - Østdanmark'!I170</f>
        <v>1724.5509602582372</v>
      </c>
      <c r="J170" s="256">
        <f>'Resultater - Vestdanmark'!J170+'Resultater - Østdanmark'!J170</f>
        <v>1365.2122945477226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4">
        <f>'Resultater - Vestdanmark'!H171+'Resultater - Østdanmark'!H171</f>
        <v>873.12609941568871</v>
      </c>
      <c r="I171" s="255">
        <f>'Resultater - Vestdanmark'!I171+'Resultater - Østdanmark'!I171</f>
        <v>680.31980925286769</v>
      </c>
      <c r="J171" s="256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4">
        <f>'Resultater - Vestdanmark'!H172+'Resultater - Østdanmark'!H172</f>
        <v>-5747.8555301287988</v>
      </c>
      <c r="I172" s="255">
        <f>'Resultater - Vestdanmark'!I172+'Resultater - Østdanmark'!I172</f>
        <v>-4187.815642728785</v>
      </c>
      <c r="J172" s="256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4">
        <f>'Resultater - Vestdanmark'!H173+'Resultater - Østdanmark'!H173</f>
        <v>1238.8653838857663</v>
      </c>
      <c r="I173" s="255">
        <f>'Resultater - Vestdanmark'!I173+'Resultater - Østdanmark'!I173</f>
        <v>902.62182246528334</v>
      </c>
      <c r="J173" s="256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4">
        <f>'Resultater - Vestdanmark'!H174+'Resultater - Østdanmark'!H174</f>
        <v>16747.502556513253</v>
      </c>
      <c r="I174" s="255">
        <f>'Resultater - Vestdanmark'!I174+'Resultater - Østdanmark'!I174</f>
        <v>20787.96820476856</v>
      </c>
      <c r="J174" s="256">
        <f>'Resultater - Vestdanmark'!J174+'Resultater - Østdanmark'!J174</f>
        <v>26784.669174453724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4">
        <f>'Resultater - Vestdanmark'!H175+'Resultater - Østdanmark'!H175</f>
        <v>-162473.80695714155</v>
      </c>
      <c r="I175" s="255">
        <f>'Resultater - Vestdanmark'!I175+'Resultater - Østdanmark'!I175</f>
        <v>-188577.95089004232</v>
      </c>
      <c r="J175" s="256">
        <f>'Resultater - Vestdanmark'!J175+'Resultater - Østdanmark'!J175</f>
        <v>-226302.14412590387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4">
        <f>'Resultater - Vestdanmark'!H176+'Resultater - Østdanmark'!H176</f>
        <v>3240.4892959857261</v>
      </c>
      <c r="I176" s="255">
        <f>'Resultater - Vestdanmark'!I176+'Resultater - Østdanmark'!I176</f>
        <v>3761.1282874617464</v>
      </c>
      <c r="J176" s="256">
        <f>'Resultater - Vestdanmark'!J176+'Resultater - Østdanmark'!J176</f>
        <v>4513.5255302539526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4">
        <f>'Resultater - Vestdanmark'!H177+'Resultater - Østdanmark'!H177</f>
        <v>211.06016492677367</v>
      </c>
      <c r="I177" s="255">
        <f>'Resultater - Vestdanmark'!I177+'Resultater - Østdanmark'!I177</f>
        <v>253.80866293500293</v>
      </c>
      <c r="J177" s="256">
        <f>'Resultater - Vestdanmark'!J177+'Resultater - Østdanmark'!J177</f>
        <v>293.20645364080724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4">
        <f>'Resultater - Vestdanmark'!H178+'Resultater - Østdanmark'!H178</f>
        <v>-1663.6537630768387</v>
      </c>
      <c r="I178" s="255">
        <f>'Resultater - Vestdanmark'!I178+'Resultater - Østdanmark'!I178</f>
        <v>-1870.7195261294996</v>
      </c>
      <c r="J178" s="256">
        <f>'Resultater - Vestdanmark'!J178+'Resultater - Østdanmark'!J178</f>
        <v>-2012.7937577785692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4">
        <f>'Resultater - Vestdanmark'!H179+'Resultater - Østdanmark'!H179</f>
        <v>239.35800730941858</v>
      </c>
      <c r="I179" s="255">
        <f>'Resultater - Vestdanmark'!I179+'Resultater - Østdanmark'!I179</f>
        <v>269.14957183221043</v>
      </c>
      <c r="J179" s="256">
        <f>'Resultater - Vestdanmark'!J179+'Resultater - Østdanmark'!J179</f>
        <v>289.59048672224424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4">
        <f>'Resultater - Vestdanmark'!H180+'Resultater - Østdanmark'!H180</f>
        <v>63.63435838223252</v>
      </c>
      <c r="I180" s="255">
        <f>'Resultater - Vestdanmark'!I180+'Resultater - Østdanmark'!I180</f>
        <v>60.520935632379377</v>
      </c>
      <c r="J180" s="256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4">
        <f>'Resultater - Vestdanmark'!H181+'Resultater - Østdanmark'!H181</f>
        <v>-418.90982182102539</v>
      </c>
      <c r="I181" s="255">
        <f>'Resultater - Vestdanmark'!I181+'Resultater - Østdanmark'!I181</f>
        <v>-372.54614301500573</v>
      </c>
      <c r="J181" s="256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4">
        <f>'Resultater - Vestdanmark'!H182+'Resultater - Østdanmark'!H182</f>
        <v>158.40320397740001</v>
      </c>
      <c r="I182" s="255">
        <f>'Resultater - Vestdanmark'!I182+'Resultater - Østdanmark'!I182</f>
        <v>140.87161391076677</v>
      </c>
      <c r="J182" s="256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4">
        <f>'Resultater - Vestdanmark'!H183+'Resultater - Østdanmark'!H183</f>
        <v>27718.750814801697</v>
      </c>
      <c r="I183" s="255">
        <f>'Resultater - Vestdanmark'!I183+'Resultater - Østdanmark'!I183</f>
        <v>28465.383131761737</v>
      </c>
      <c r="J183" s="256">
        <f>'Resultater - Vestdanmark'!J183+'Resultater - Østdanmark'!J183</f>
        <v>28634.829415677737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4">
        <f>'Resultater - Vestdanmark'!H184+'Resultater - Østdanmark'!H184</f>
        <v>-23717015.446220245</v>
      </c>
      <c r="I184" s="255">
        <f>'Resultater - Vestdanmark'!I184+'Resultater - Østdanmark'!I184</f>
        <v>-22530831.033870783</v>
      </c>
      <c r="J184" s="256">
        <f>'Resultater - Vestdanmark'!J184+'Resultater - Østdanmark'!J184</f>
        <v>-19831831.798266262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4">
        <f>'Resultater - Vestdanmark'!H185+'Resultater - Østdanmark'!H185</f>
        <v>5135.7375651082511</v>
      </c>
      <c r="I185" s="255">
        <f>'Resultater - Vestdanmark'!I185+'Resultater - Østdanmark'!I185</f>
        <v>4878.8784396646297</v>
      </c>
      <c r="J185" s="256">
        <f>'Resultater - Vestdanmark'!J185+'Resultater - Østdanmark'!J185</f>
        <v>4294.4308815844815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4">
        <f>'Resultater - Vestdanmark'!H186+'Resultater - Østdanmark'!H186</f>
        <v>2020.1720283442451</v>
      </c>
      <c r="I186" s="255">
        <f>'Resultater - Vestdanmark'!I186+'Resultater - Østdanmark'!I186</f>
        <v>2532.2673202185729</v>
      </c>
      <c r="J186" s="256">
        <f>'Resultater - Vestdanmark'!J186+'Resultater - Østdanmark'!J186</f>
        <v>3462.2111929864905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4">
        <f>'Resultater - Vestdanmark'!H187+'Resultater - Østdanmark'!H187</f>
        <v>-1728521.3002700505</v>
      </c>
      <c r="I187" s="255">
        <f>'Resultater - Vestdanmark'!I187+'Resultater - Østdanmark'!I187</f>
        <v>-2004332.3098917417</v>
      </c>
      <c r="J187" s="256">
        <f>'Resultater - Vestdanmark'!J187+'Resultater - Østdanmark'!J187</f>
        <v>-2397848.7537903758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4">
        <f>'Resultater - Vestdanmark'!H188+'Resultater - Østdanmark'!H188</f>
        <v>656.66318203887363</v>
      </c>
      <c r="I188" s="255">
        <f>'Resultater - Vestdanmark'!I188+'Resultater - Østdanmark'!I188</f>
        <v>761.44345590141631</v>
      </c>
      <c r="J188" s="256">
        <f>'Resultater - Vestdanmark'!J188+'Resultater - Østdanmark'!J188</f>
        <v>910.93988397246585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4">
        <f>'Resultater - Vestdanmark'!H189+'Resultater - Østdanmark'!H189</f>
        <v>1960428.2349329358</v>
      </c>
      <c r="I189" s="255">
        <f>'Resultater - Vestdanmark'!I189+'Resultater - Østdanmark'!I189</f>
        <v>1985953.3920054978</v>
      </c>
      <c r="J189" s="256">
        <f>'Resultater - Vestdanmark'!J189+'Resultater - Østdanmark'!J189</f>
        <v>1858478.0384564616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4">
        <f>'Resultater - Vestdanmark'!H190+'Resultater - Østdanmark'!H190</f>
        <v>-6923899.3970784517</v>
      </c>
      <c r="I190" s="255">
        <f>'Resultater - Vestdanmark'!I190+'Resultater - Østdanmark'!I190</f>
        <v>-6555186.8359422311</v>
      </c>
      <c r="J190" s="256">
        <f>'Resultater - Vestdanmark'!J190+'Resultater - Østdanmark'!J190</f>
        <v>-5707677.0670986176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4">
        <f>'Resultater - Vestdanmark'!H191+'Resultater - Østdanmark'!H191</f>
        <v>104952.20706782168</v>
      </c>
      <c r="I191" s="255">
        <f>'Resultater - Vestdanmark'!I191+'Resultater - Østdanmark'!I191</f>
        <v>99363.275911311241</v>
      </c>
      <c r="J191" s="256">
        <f>'Resultater - Vestdanmark'!J191+'Resultater - Østdanmark'!J191</f>
        <v>86516.75465925374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4">
        <f>'Resultater - Vestdanmark'!H192+'Resultater - Østdanmark'!H192</f>
        <v>74529.950322797784</v>
      </c>
      <c r="I192" s="255">
        <f>'Resultater - Vestdanmark'!I192+'Resultater - Østdanmark'!I192</f>
        <v>73436.893210249807</v>
      </c>
      <c r="J192" s="256">
        <f>'Resultater - Vestdanmark'!J192+'Resultater - Østdanmark'!J192</f>
        <v>62481.653866743494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4">
        <f>'Resultater - Vestdanmark'!H193+'Resultater - Østdanmark'!H193</f>
        <v>-175484.74661777477</v>
      </c>
      <c r="I193" s="255">
        <f>'Resultater - Vestdanmark'!I193+'Resultater - Østdanmark'!I193</f>
        <v>-161599.14513676637</v>
      </c>
      <c r="J193" s="256">
        <f>'Resultater - Vestdanmark'!J193+'Resultater - Østdanmark'!J193</f>
        <v>-127927.29517026256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4">
        <f>'Resultater - Vestdanmark'!H194+'Resultater - Østdanmark'!H194</f>
        <v>23385.82028389235</v>
      </c>
      <c r="I194" s="255">
        <f>'Resultater - Vestdanmark'!I194+'Resultater - Østdanmark'!I194</f>
        <v>21535.367825617432</v>
      </c>
      <c r="J194" s="256">
        <f>'Resultater - Vestdanmark'!J194+'Resultater - Østdanmark'!J194</f>
        <v>17048.118380182816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4">
        <f>'Resultater - Vestdanmark'!H195+'Resultater - Østdanmark'!H195</f>
        <v>74479.88306993802</v>
      </c>
      <c r="I195" s="255">
        <f>'Resultater - Vestdanmark'!I195+'Resultater - Østdanmark'!I195</f>
        <v>57656.782174057706</v>
      </c>
      <c r="J195" s="256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4">
        <f>'Resultater - Vestdanmark'!H196+'Resultater - Østdanmark'!H196</f>
        <v>-112735.83895599192</v>
      </c>
      <c r="I196" s="255">
        <f>'Resultater - Vestdanmark'!I196+'Resultater - Østdanmark'!I196</f>
        <v>-81562.33266636332</v>
      </c>
      <c r="J196" s="256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4">
        <f>'Resultater - Vestdanmark'!H197+'Resultater - Østdanmark'!H197</f>
        <v>51296.929124309347</v>
      </c>
      <c r="I197" s="255">
        <f>'Resultater - Vestdanmark'!I197+'Resultater - Østdanmark'!I197</f>
        <v>37112.396880578723</v>
      </c>
      <c r="J197" s="256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4">
        <f>'Resultater - Vestdanmark'!H198+'Resultater - Østdanmark'!H198</f>
        <v>142878.09397503437</v>
      </c>
      <c r="I198" s="255">
        <f>'Resultater - Vestdanmark'!I198+'Resultater - Østdanmark'!I198</f>
        <v>176669.49539285907</v>
      </c>
      <c r="J198" s="256">
        <f>'Resultater - Vestdanmark'!J198+'Resultater - Østdanmark'!J198</f>
        <v>224706.89010428119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4">
        <f>'Resultater - Vestdanmark'!H199+'Resultater - Østdanmark'!H199</f>
        <v>-504621.14914566139</v>
      </c>
      <c r="I199" s="255">
        <f>'Resultater - Vestdanmark'!I199+'Resultater - Østdanmark'!I199</f>
        <v>-583146.3896251499</v>
      </c>
      <c r="J199" s="256">
        <f>'Resultater - Vestdanmark'!J199+'Resultater - Østdanmark'!J199</f>
        <v>-690110.0453855599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4">
        <f>'Resultater - Vestdanmark'!H200+'Resultater - Østdanmark'!H200</f>
        <v>13419.348123117323</v>
      </c>
      <c r="I200" s="255">
        <f>'Resultater - Vestdanmark'!I200+'Resultater - Østdanmark'!I200</f>
        <v>15507.563292516788</v>
      </c>
      <c r="J200" s="256">
        <f>'Resultater - Vestdanmark'!J200+'Resultater - Østdanmark'!J200</f>
        <v>18352.038867114425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4">
        <f>'Resultater - Vestdanmark'!H201+'Resultater - Østdanmark'!H201</f>
        <v>5431.8220154279852</v>
      </c>
      <c r="I201" s="255">
        <f>'Resultater - Vestdanmark'!I201+'Resultater - Østdanmark'!I201</f>
        <v>6532.912060726846</v>
      </c>
      <c r="J201" s="256">
        <f>'Resultater - Vestdanmark'!J201+'Resultater - Østdanmark'!J201</f>
        <v>7554.5999675244411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4">
        <f>'Resultater - Vestdanmark'!H202+'Resultater - Østdanmark'!H202</f>
        <v>-12789.514898665619</v>
      </c>
      <c r="I202" s="255">
        <f>'Resultater - Vestdanmark'!I202+'Resultater - Østdanmark'!I202</f>
        <v>-14375.785223438348</v>
      </c>
      <c r="J202" s="256">
        <f>'Resultater - Vestdanmark'!J202+'Resultater - Østdanmark'!J202</f>
        <v>-15467.572961495382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4">
        <f>'Resultater - Vestdanmark'!H203+'Resultater - Østdanmark'!H203</f>
        <v>2990.1463942669939</v>
      </c>
      <c r="I203" s="255">
        <f>'Resultater - Vestdanmark'!I203+'Resultater - Østdanmark'!I203</f>
        <v>3361.0111635356689</v>
      </c>
      <c r="J203" s="256">
        <f>'Resultater - Vestdanmark'!J203+'Resultater - Østdanmark'!J203</f>
        <v>3616.267535190294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4">
        <f>'Resultater - Vestdanmark'!H204+'Resultater - Østdanmark'!H204</f>
        <v>5428.1730608109774</v>
      </c>
      <c r="I204" s="255">
        <f>'Resultater - Vestdanmark'!I204+'Resultater - Østdanmark'!I204</f>
        <v>5129.1206801083699</v>
      </c>
      <c r="J204" s="256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4">
        <f>'Resultater - Vestdanmark'!H205+'Resultater - Østdanmark'!H205</f>
        <v>-8216.3077972908159</v>
      </c>
      <c r="I205" s="255">
        <f>'Resultater - Vestdanmark'!I205+'Resultater - Østdanmark'!I205</f>
        <v>-7255.7473973140532</v>
      </c>
      <c r="J205" s="256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4">
        <f>'Resultater - Vestdanmark'!H206+'Resultater - Østdanmark'!H206</f>
        <v>6558.9030359423223</v>
      </c>
      <c r="I206" s="255">
        <f>'Resultater - Vestdanmark'!I206+'Resultater - Østdanmark'!I206</f>
        <v>5792.1081836741359</v>
      </c>
      <c r="J206" s="256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4">
        <f>'Resultater - Vestdanmark'!H207+'Resultater - Østdanmark'!H207</f>
        <v>10615606.672639394</v>
      </c>
      <c r="I207" s="255">
        <f>'Resultater - Vestdanmark'!I207+'Resultater - Østdanmark'!I207</f>
        <v>10763707.811073896</v>
      </c>
      <c r="J207" s="256">
        <f>'Resultater - Vestdanmark'!J207+'Resultater - Østdanmark'!J207</f>
        <v>10102631.319359099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4">
        <f>'Resultater - Vestdanmark'!H208+'Resultater - Østdanmark'!H208</f>
        <v>-33160399.72307751</v>
      </c>
      <c r="I208" s="255">
        <f>'Resultater - Vestdanmark'!I208+'Resultater - Østdanmark'!I208</f>
        <v>-31423391.809838016</v>
      </c>
      <c r="J208" s="256">
        <f>'Resultater - Vestdanmark'!J208+'Resultater - Østdanmark'!J208</f>
        <v>-27441737.28161262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4">
        <f>'Resultater - Vestdanmark'!H209+'Resultater - Østdanmark'!H209</f>
        <v>486429.76821888878</v>
      </c>
      <c r="I209" s="255">
        <f>'Resultater - Vestdanmark'!I209+'Resultater - Østdanmark'!I209</f>
        <v>460949.6062278545</v>
      </c>
      <c r="J209" s="256">
        <f>'Resultater - Vestdanmark'!J209+'Resultater - Østdanmark'!J209</f>
        <v>402542.73220140894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4">
        <f>'Resultater - Vestdanmark'!H210+'Resultater - Østdanmark'!H210</f>
        <v>1227820.3144178872</v>
      </c>
      <c r="I210" s="255">
        <f>'Resultater - Vestdanmark'!I210+'Resultater - Østdanmark'!I210</f>
        <v>1209901.8841760147</v>
      </c>
      <c r="J210" s="256">
        <f>'Resultater - Vestdanmark'!J210+'Resultater - Østdanmark'!J210</f>
        <v>1029409.9795776121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4">
        <f>'Resultater - Vestdanmark'!H211+'Resultater - Østdanmark'!H211</f>
        <v>-2680650.2901102607</v>
      </c>
      <c r="I211" s="255">
        <f>'Resultater - Vestdanmark'!I211+'Resultater - Østdanmark'!I211</f>
        <v>-2468719.3534237449</v>
      </c>
      <c r="J211" s="256">
        <f>'Resultater - Vestdanmark'!J211+'Resultater - Østdanmark'!J211</f>
        <v>-1954320.9164299341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4">
        <f>'Resultater - Vestdanmark'!H212+'Resultater - Østdanmark'!H212</f>
        <v>329754.92419657321</v>
      </c>
      <c r="I212" s="255">
        <f>'Resultater - Vestdanmark'!I212+'Resultater - Østdanmark'!I212</f>
        <v>303684.6567619142</v>
      </c>
      <c r="J212" s="256">
        <f>'Resultater - Vestdanmark'!J212+'Resultater - Østdanmark'!J212</f>
        <v>240406.94455024303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4">
        <f>'Resultater - Vestdanmark'!H213+'Resultater - Østdanmark'!H213</f>
        <v>1475854.3420564069</v>
      </c>
      <c r="I213" s="255">
        <f>'Resultater - Vestdanmark'!I213+'Resultater - Østdanmark'!I213</f>
        <v>1144038.219048728</v>
      </c>
      <c r="J213" s="256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4">
        <f>'Resultater - Vestdanmark'!H214+'Resultater - Østdanmark'!H214</f>
        <v>-2230735.0998434206</v>
      </c>
      <c r="I214" s="255">
        <f>'Resultater - Vestdanmark'!I214+'Resultater - Østdanmark'!I214</f>
        <v>-1616074.0587088903</v>
      </c>
      <c r="J214" s="256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4">
        <f>'Resultater - Vestdanmark'!H215+'Resultater - Østdanmark'!H215</f>
        <v>870022.68593914213</v>
      </c>
      <c r="I215" s="255">
        <f>'Resultater - Vestdanmark'!I215+'Resultater - Østdanmark'!I215</f>
        <v>630294.96121398301</v>
      </c>
      <c r="J215" s="256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4">
        <f>'Resultater - Vestdanmark'!H216+'Resultater - Østdanmark'!H216</f>
        <v>1058715.4844797079</v>
      </c>
      <c r="I216" s="255">
        <f>'Resultater - Vestdanmark'!I216+'Resultater - Østdanmark'!I216</f>
        <v>1310310.3265966261</v>
      </c>
      <c r="J216" s="256">
        <f>'Resultater - Vestdanmark'!J216+'Resultater - Østdanmark'!J216</f>
        <v>1671526.2728394154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4">
        <f>'Resultater - Vestdanmark'!H217+'Resultater - Østdanmark'!H217</f>
        <v>-3307152.3598217401</v>
      </c>
      <c r="I217" s="255">
        <f>'Resultater - Vestdanmark'!I217+'Resultater - Østdanmark'!I217</f>
        <v>-3825298.4480646746</v>
      </c>
      <c r="J217" s="256">
        <f>'Resultater - Vestdanmark'!J217+'Resultater - Østdanmark'!J217</f>
        <v>-4540360.168412271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4">
        <f>'Resultater - Vestdanmark'!H218+'Resultater - Østdanmark'!H218</f>
        <v>62195.646757178984</v>
      </c>
      <c r="I218" s="255">
        <f>'Resultater - Vestdanmark'!I218+'Resultater - Østdanmark'!I218</f>
        <v>71940.111954636261</v>
      </c>
      <c r="J218" s="256">
        <f>'Resultater - Vestdanmark'!J218+'Resultater - Østdanmark'!J218</f>
        <v>85387.852285147383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4">
        <f>'Resultater - Vestdanmark'!H219+'Resultater - Østdanmark'!H219</f>
        <v>122452.95244249655</v>
      </c>
      <c r="I219" s="255">
        <f>'Resultater - Vestdanmark'!I219+'Resultater - Østdanmark'!I219</f>
        <v>147286.32185402815</v>
      </c>
      <c r="J219" s="256">
        <f>'Resultater - Vestdanmark'!J219+'Resultater - Østdanmark'!J219</f>
        <v>170320.56025738674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4">
        <f>'Resultater - Vestdanmark'!H220+'Resultater - Østdanmark'!H220</f>
        <v>-267346.56417984271</v>
      </c>
      <c r="I220" s="255">
        <f>'Resultater - Vestdanmark'!I220+'Resultater - Østdanmark'!I220</f>
        <v>-300527.33863065939</v>
      </c>
      <c r="J220" s="256">
        <f>'Resultater - Vestdanmark'!J220+'Resultater - Østdanmark'!J220</f>
        <v>-323351.27890022547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4">
        <f>'Resultater - Vestdanmark'!H221+'Resultater - Østdanmark'!H221</f>
        <v>42162.963950309473</v>
      </c>
      <c r="I221" s="255">
        <f>'Resultater - Vestdanmark'!I221+'Resultater - Østdanmark'!I221</f>
        <v>47395.871286541522</v>
      </c>
      <c r="J221" s="256">
        <f>'Resultater - Vestdanmark'!J221+'Resultater - Østdanmark'!J221</f>
        <v>50995.412480354593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4">
        <f>'Resultater - Vestdanmark'!H222+'Resultater - Østdanmark'!H222</f>
        <v>147189.87740935557</v>
      </c>
      <c r="I222" s="255">
        <f>'Resultater - Vestdanmark'!I222+'Resultater - Østdanmark'!I222</f>
        <v>139268.46759055613</v>
      </c>
      <c r="J222" s="256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4">
        <f>'Resultater - Vestdanmark'!H223+'Resultater - Østdanmark'!H223</f>
        <v>-222475.63090894136</v>
      </c>
      <c r="I223" s="255">
        <f>'Resultater - Vestdanmark'!I223+'Resultater - Østdanmark'!I223</f>
        <v>-196731.32760930192</v>
      </c>
      <c r="J223" s="256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4">
        <f>'Resultater - Vestdanmark'!H224+'Resultater - Østdanmark'!H224</f>
        <v>111242.41808542692</v>
      </c>
      <c r="I224" s="255">
        <f>'Resultater - Vestdanmark'!I224+'Resultater - Østdanmark'!I224</f>
        <v>98369.733831084057</v>
      </c>
      <c r="J224" s="256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4">
        <f>'Resultater - Vestdanmark'!H225+'Resultater - Østdanmark'!H225</f>
        <v>252636.14136845001</v>
      </c>
      <c r="I225" s="255">
        <f>'Resultater - Vestdanmark'!I225+'Resultater - Østdanmark'!I225</f>
        <v>256093.87629324602</v>
      </c>
      <c r="J225" s="256">
        <f>'Resultater - Vestdanmark'!J225+'Resultater - Østdanmark'!J225</f>
        <v>240163.71925998089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4">
        <f>'Resultater - Vestdanmark'!H226+'Resultater - Østdanmark'!H226</f>
        <v>75002.300218044285</v>
      </c>
      <c r="I226" s="255">
        <f>'Resultater - Vestdanmark'!I226+'Resultater - Østdanmark'!I226</f>
        <v>102490.62696834363</v>
      </c>
      <c r="J226" s="256">
        <f>'Resultater - Vestdanmark'!J226+'Resultater - Østdanmark'!J226</f>
        <v>108129.67038909864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4">
        <f>'Resultater - Vestdanmark'!H227+'Resultater - Østdanmark'!H227</f>
        <v>0</v>
      </c>
      <c r="I227" s="255">
        <f>'Resultater - Vestdanmark'!I227+'Resultater - Østdanmark'!I227</f>
        <v>0</v>
      </c>
      <c r="J227" s="256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4">
        <f>'Resultater - Vestdanmark'!H228+'Resultater - Østdanmark'!H228</f>
        <v>148812.79058360241</v>
      </c>
      <c r="I228" s="255">
        <f>'Resultater - Vestdanmark'!I228+'Resultater - Østdanmark'!I228</f>
        <v>140980.87358371791</v>
      </c>
      <c r="J228" s="256">
        <f>'Resultater - Vestdanmark'!J228+'Resultater - Østdanmark'!J228</f>
        <v>123013.94362599189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4">
        <f>'Resultater - Vestdanmark'!H229+'Resultater - Østdanmark'!H229</f>
        <v>9551.9923536804617</v>
      </c>
      <c r="I229" s="255">
        <f>'Resultater - Vestdanmark'!I229+'Resultater - Østdanmark'!I229</f>
        <v>9412.3935221729789</v>
      </c>
      <c r="J229" s="256">
        <f>'Resultater - Vestdanmark'!J229+'Resultater - Østdanmark'!J229</f>
        <v>8008.2624468638014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4">
        <f>'Resultater - Vestdanmark'!H230+'Resultater - Østdanmark'!H230</f>
        <v>2835.7834881049771</v>
      </c>
      <c r="I230" s="255">
        <f>'Resultater - Vestdanmark'!I230+'Resultater - Østdanmark'!I230</f>
        <v>3766.9081640033201</v>
      </c>
      <c r="J230" s="256">
        <f>'Resultater - Vestdanmark'!J230+'Resultater - Østdanmark'!J230</f>
        <v>3605.5853125400508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4">
        <f>'Resultater - Vestdanmark'!H231+'Resultater - Østdanmark'!H231</f>
        <v>0</v>
      </c>
      <c r="I231" s="255">
        <f>'Resultater - Vestdanmark'!I231+'Resultater - Østdanmark'!I231</f>
        <v>0</v>
      </c>
      <c r="J231" s="256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4">
        <f>'Resultater - Vestdanmark'!H232+'Resultater - Østdanmark'!H232</f>
        <v>32977.664576989635</v>
      </c>
      <c r="I232" s="255">
        <f>'Resultater - Vestdanmark'!I232+'Resultater - Østdanmark'!I232</f>
        <v>30369.82076596174</v>
      </c>
      <c r="J232" s="256">
        <f>'Resultater - Vestdanmark'!J232+'Resultater - Østdanmark'!J232</f>
        <v>24041.767189467817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4">
        <f>'Resultater - Vestdanmark'!H233+'Resultater - Østdanmark'!H233</f>
        <v>3796.4815039591263</v>
      </c>
      <c r="I233" s="255">
        <f>'Resultater - Vestdanmark'!I233+'Resultater - Østdanmark'!I233</f>
        <v>2941.7727077958366</v>
      </c>
      <c r="J233" s="256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4">
        <f>'Resultater - Vestdanmark'!H234+'Resultater - Østdanmark'!H234</f>
        <v>1127.0946587048945</v>
      </c>
      <c r="I234" s="255">
        <f>'Resultater - Vestdanmark'!I234+'Resultater - Østdanmark'!I234</f>
        <v>1177.3187769437845</v>
      </c>
      <c r="J234" s="256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4">
        <f>'Resultater - Vestdanmark'!H235+'Resultater - Østdanmark'!H235</f>
        <v>0</v>
      </c>
      <c r="I235" s="255">
        <f>'Resultater - Vestdanmark'!I235+'Resultater - Østdanmark'!I235</f>
        <v>0</v>
      </c>
      <c r="J235" s="256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4">
        <f>'Resultater - Vestdanmark'!H236+'Resultater - Østdanmark'!H236</f>
        <v>28769.864955948491</v>
      </c>
      <c r="I236" s="255">
        <f>'Resultater - Vestdanmark'!I236+'Resultater - Østdanmark'!I236</f>
        <v>20834.441920533969</v>
      </c>
      <c r="J236" s="256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4">
        <f>'Resultater - Vestdanmark'!H237+'Resultater - Østdanmark'!H237</f>
        <v>18412.390570964348</v>
      </c>
      <c r="I237" s="255">
        <f>'Resultater - Vestdanmark'!I237+'Resultater - Østdanmark'!I237</f>
        <v>22781.992810133281</v>
      </c>
      <c r="J237" s="256">
        <f>'Resultater - Vestdanmark'!J237+'Resultater - Østdanmark'!J237</f>
        <v>29037.976965070418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4">
        <f>'Resultater - Vestdanmark'!H238+'Resultater - Østdanmark'!H238</f>
        <v>5466.2473779684478</v>
      </c>
      <c r="I238" s="255">
        <f>'Resultater - Vestdanmark'!I238+'Resultater - Østdanmark'!I238</f>
        <v>9117.5187805942696</v>
      </c>
      <c r="J238" s="256">
        <f>'Resultater - Vestdanmark'!J238+'Resultater - Østdanmark'!J238</f>
        <v>13073.860147045561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4">
        <f>'Resultater - Vestdanmark'!H239+'Resultater - Østdanmark'!H239</f>
        <v>0</v>
      </c>
      <c r="I239" s="255">
        <f>'Resultater - Vestdanmark'!I239+'Resultater - Østdanmark'!I239</f>
        <v>0</v>
      </c>
      <c r="J239" s="256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4">
        <f>'Resultater - Vestdanmark'!H240+'Resultater - Østdanmark'!H240</f>
        <v>19027.428748815582</v>
      </c>
      <c r="I240" s="255">
        <f>'Resultater - Vestdanmark'!I240+'Resultater - Østdanmark'!I240</f>
        <v>22002.795299192978</v>
      </c>
      <c r="J240" s="256">
        <f>'Resultater - Vestdanmark'!J240+'Resultater - Østdanmark'!J240</f>
        <v>26093.866829755858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4">
        <f>'Resultater - Vestdanmark'!H241+'Resultater - Østdanmark'!H241</f>
        <v>696.15935785818442</v>
      </c>
      <c r="I241" s="255">
        <f>'Resultater - Vestdanmark'!I241+'Resultater - Østdanmark'!I241</f>
        <v>837.32217518059031</v>
      </c>
      <c r="J241" s="256">
        <f>'Resultater - Vestdanmark'!J241+'Resultater - Østdanmark'!J241</f>
        <v>968.27173221171392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4">
        <f>'Resultater - Vestdanmark'!H242+'Resultater - Østdanmark'!H242</f>
        <v>206.67491545293632</v>
      </c>
      <c r="I242" s="255">
        <f>'Resultater - Vestdanmark'!I242+'Resultater - Østdanmark'!I242</f>
        <v>335.10240834688494</v>
      </c>
      <c r="J242" s="256">
        <f>'Resultater - Vestdanmark'!J242+'Resultater - Østdanmark'!J242</f>
        <v>435.94804233438788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4">
        <f>'Resultater - Vestdanmark'!H243+'Resultater - Østdanmark'!H243</f>
        <v>0</v>
      </c>
      <c r="I243" s="255">
        <f>'Resultater - Vestdanmark'!I243+'Resultater - Østdanmark'!I243</f>
        <v>0</v>
      </c>
      <c r="J243" s="256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4">
        <f>'Resultater - Vestdanmark'!H244+'Resultater - Østdanmark'!H244</f>
        <v>4216.5741303567183</v>
      </c>
      <c r="I244" s="255">
        <f>'Resultater - Vestdanmark'!I244+'Resultater - Østdanmark'!I244</f>
        <v>4739.798616652989</v>
      </c>
      <c r="J244" s="256">
        <f>'Resultater - Vestdanmark'!J244+'Resultater - Østdanmark'!J244</f>
        <v>5099.7687977658998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4">
        <f>'Resultater - Vestdanmark'!H245+'Resultater - Østdanmark'!H245</f>
        <v>276.69160820656509</v>
      </c>
      <c r="I245" s="255">
        <f>'Resultater - Vestdanmark'!I245+'Resultater - Østdanmark'!I245</f>
        <v>261.69873972819607</v>
      </c>
      <c r="J245" s="256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4">
        <f>'Resultater - Vestdanmark'!H246+'Resultater - Østdanmark'!H246</f>
        <v>82.143856987810693</v>
      </c>
      <c r="I246" s="255">
        <f>'Resultater - Vestdanmark'!I246+'Resultater - Østdanmark'!I246</f>
        <v>104.73373397205111</v>
      </c>
      <c r="J246" s="256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4">
        <f>'Resultater - Vestdanmark'!H247+'Resultater - Østdanmark'!H247</f>
        <v>0</v>
      </c>
      <c r="I247" s="255">
        <f>'Resultater - Vestdanmark'!I247+'Resultater - Østdanmark'!I247</f>
        <v>0</v>
      </c>
      <c r="J247" s="256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4">
        <f>'Resultater - Vestdanmark'!H248+'Resultater - Østdanmark'!H248</f>
        <v>3678.55849900765</v>
      </c>
      <c r="I248" s="255">
        <f>'Resultater - Vestdanmark'!I248+'Resultater - Østdanmark'!I248</f>
        <v>3251.6181032047243</v>
      </c>
      <c r="J248" s="256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4">
        <f>'Resultater - Vestdanmark'!H249+'Resultater - Østdanmark'!H249</f>
        <v>2410176.5834804205</v>
      </c>
      <c r="I249" s="255">
        <f>'Resultater - Vestdanmark'!I249+'Resultater - Østdanmark'!I249</f>
        <v>2471267.4286634801</v>
      </c>
      <c r="J249" s="256">
        <f>'Resultater - Vestdanmark'!J249+'Resultater - Østdanmark'!J249</f>
        <v>2402305.3588413168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4">
        <f>'Resultater - Vestdanmark'!H250+'Resultater - Østdanmark'!H250</f>
        <v>-4004417.1927958126</v>
      </c>
      <c r="I250" s="255">
        <f>'Resultater - Vestdanmark'!I250+'Resultater - Østdanmark'!I250</f>
        <v>-3837305.9069165019</v>
      </c>
      <c r="J250" s="256">
        <f>'Resultater - Vestdanmark'!J250+'Resultater - Østdanmark'!J250</f>
        <v>-3470729.9573075604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4">
        <f>'Resultater - Vestdanmark'!H251+'Resultater - Østdanmark'!H251</f>
        <v>67443.117157939108</v>
      </c>
      <c r="I251" s="255">
        <f>'Resultater - Vestdanmark'!I251+'Resultater - Østdanmark'!I251</f>
        <v>64628.598717590648</v>
      </c>
      <c r="J251" s="256">
        <f>'Resultater - Vestdanmark'!J251+'Resultater - Østdanmark'!J251</f>
        <v>58454.660407357434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4">
        <f>'Resultater - Vestdanmark'!H252+'Resultater - Østdanmark'!H252</f>
        <v>16302.299566350639</v>
      </c>
      <c r="I252" s="255">
        <f>'Resultater - Vestdanmark'!I252+'Resultater - Østdanmark'!I252</f>
        <v>16086.185807030666</v>
      </c>
      <c r="J252" s="256">
        <f>'Resultater - Vestdanmark'!J252+'Resultater - Østdanmark'!J252</f>
        <v>13686.465340430939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4">
        <f>'Resultater - Vestdanmark'!H253+'Resultater - Østdanmark'!H253</f>
        <v>-17555.516386431049</v>
      </c>
      <c r="I253" s="255">
        <f>'Resultater - Vestdanmark'!I253+'Resultater - Østdanmark'!I253</f>
        <v>-16189.522597752701</v>
      </c>
      <c r="J253" s="256">
        <f>'Resultater - Vestdanmark'!J253+'Resultater - Østdanmark'!J253</f>
        <v>-12816.168267941794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4">
        <f>'Resultater - Vestdanmark'!H254+'Resultater - Østdanmark'!H254</f>
        <v>2673.7376430017921</v>
      </c>
      <c r="I254" s="255">
        <f>'Resultater - Vestdanmark'!I254+'Resultater - Østdanmark'!I254</f>
        <v>2465.6942603691468</v>
      </c>
      <c r="J254" s="256">
        <f>'Resultater - Vestdanmark'!J254+'Resultater - Østdanmark'!J254</f>
        <v>1951.9261514589587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4">
        <f>'Resultater - Vestdanmark'!H255+'Resultater - Østdanmark'!H255</f>
        <v>7000.5878814400912</v>
      </c>
      <c r="I255" s="255">
        <f>'Resultater - Vestdanmark'!I255+'Resultater - Østdanmark'!I255</f>
        <v>5556.3292584998599</v>
      </c>
      <c r="J255" s="256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4">
        <f>'Resultater - Vestdanmark'!H256+'Resultater - Østdanmark'!H256</f>
        <v>-4615.5602634927654</v>
      </c>
      <c r="I256" s="255">
        <f>'Resultater - Vestdanmark'!I256+'Resultater - Østdanmark'!I256</f>
        <v>-3423.68743972637</v>
      </c>
      <c r="J256" s="256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4">
        <f>'Resultater - Vestdanmark'!H257+'Resultater - Østdanmark'!H257</f>
        <v>2520.2001766035514</v>
      </c>
      <c r="I257" s="255">
        <f>'Resultater - Vestdanmark'!I257+'Resultater - Østdanmark'!I257</f>
        <v>1869.4106885529741</v>
      </c>
      <c r="J257" s="256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4">
        <f>'Resultater - Vestdanmark'!H258+'Resultater - Østdanmark'!H258</f>
        <v>175656.2317634254</v>
      </c>
      <c r="I258" s="255">
        <f>'Resultater - Vestdanmark'!I258+'Resultater - Østdanmark'!I258</f>
        <v>219842.80767127717</v>
      </c>
      <c r="J258" s="256">
        <f>'Resultater - Vestdanmark'!J258+'Resultater - Østdanmark'!J258</f>
        <v>290460.55702354101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4">
        <f>'Resultater - Vestdanmark'!H259+'Resultater - Østdanmark'!H259</f>
        <v>-291846.18227409676</v>
      </c>
      <c r="I259" s="255">
        <f>'Resultater - Vestdanmark'!I259+'Resultater - Østdanmark'!I259</f>
        <v>-341364.959002572</v>
      </c>
      <c r="J259" s="256">
        <f>'Resultater - Vestdanmark'!J259+'Resultater - Østdanmark'!J259</f>
        <v>-419642.80392900499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4">
        <f>'Resultater - Vestdanmark'!H260+'Resultater - Østdanmark'!H260</f>
        <v>8623.3790878329964</v>
      </c>
      <c r="I260" s="255">
        <f>'Resultater - Vestdanmark'!I260+'Resultater - Østdanmark'!I260</f>
        <v>10086.544308525708</v>
      </c>
      <c r="J260" s="256">
        <f>'Resultater - Vestdanmark'!J260+'Resultater - Østdanmark'!J260</f>
        <v>12399.473419742486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4">
        <f>'Resultater - Vestdanmark'!H261+'Resultater - Østdanmark'!H261</f>
        <v>1188.1289240510705</v>
      </c>
      <c r="I261" s="255">
        <f>'Resultater - Vestdanmark'!I261+'Resultater - Østdanmark'!I261</f>
        <v>1431.0196506948091</v>
      </c>
      <c r="J261" s="256">
        <f>'Resultater - Vestdanmark'!J261+'Resultater - Østdanmark'!J261</f>
        <v>1654.8180820702864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4">
        <f>'Resultater - Vestdanmark'!H262+'Resultater - Østdanmark'!H262</f>
        <v>-1279.4646982456652</v>
      </c>
      <c r="I262" s="255">
        <f>'Resultater - Vestdanmark'!I262+'Resultater - Østdanmark'!I262</f>
        <v>-1440.2124438116418</v>
      </c>
      <c r="J262" s="256">
        <f>'Resultater - Vestdanmark'!J262+'Resultater - Østdanmark'!J262</f>
        <v>-1549.5912542147807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4">
        <f>'Resultater - Vestdanmark'!H263+'Resultater - Østdanmark'!H263</f>
        <v>341.86814383177432</v>
      </c>
      <c r="I263" s="255">
        <f>'Resultater - Vestdanmark'!I263+'Resultater - Østdanmark'!I263</f>
        <v>384.81933543333508</v>
      </c>
      <c r="J263" s="256">
        <f>'Resultater - Vestdanmark'!J263+'Resultater - Østdanmark'!J263</f>
        <v>414.04494121856703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4">
        <f>'Resultater - Vestdanmark'!H264+'Resultater - Østdanmark'!H264</f>
        <v>510.210287416668</v>
      </c>
      <c r="I264" s="255">
        <f>'Resultater - Vestdanmark'!I264+'Resultater - Østdanmark'!I264</f>
        <v>494.28848143533435</v>
      </c>
      <c r="J264" s="256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4">
        <f>'Resultater - Vestdanmark'!H265+'Resultater - Østdanmark'!H265</f>
        <v>-336.38693899820993</v>
      </c>
      <c r="I265" s="255">
        <f>'Resultater - Vestdanmark'!I265+'Resultater - Østdanmark'!I265</f>
        <v>-304.5696514299932</v>
      </c>
      <c r="J265" s="256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4">
        <f>'Resultater - Vestdanmark'!H266+'Resultater - Østdanmark'!H266</f>
        <v>322.23661087879924</v>
      </c>
      <c r="I266" s="255">
        <f>'Resultater - Vestdanmark'!I266+'Resultater - Østdanmark'!I266</f>
        <v>291.75773751982837</v>
      </c>
      <c r="J266" s="256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4">
        <f>'Resultater - Vestdanmark'!H267+'Resultater - Østdanmark'!H267</f>
        <v>36988.210710055057</v>
      </c>
      <c r="I267" s="255">
        <f>'Resultater - Vestdanmark'!I267+'Resultater - Østdanmark'!I267</f>
        <v>37657.521146996805</v>
      </c>
      <c r="J267" s="256">
        <f>'Resultater - Vestdanmark'!J267+'Resultater - Østdanmark'!J267</f>
        <v>35806.87360864861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4">
        <f>'Resultater - Vestdanmark'!H268+'Resultater - Østdanmark'!H268</f>
        <v>-609935.15894083725</v>
      </c>
      <c r="I268" s="255">
        <f>'Resultater - Vestdanmark'!I268+'Resultater - Østdanmark'!I268</f>
        <v>-580347.73846961814</v>
      </c>
      <c r="J268" s="256">
        <f>'Resultater - Vestdanmark'!J268+'Resultater - Østdanmark'!J268</f>
        <v>-513439.06439399865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4">
        <f>'Resultater - Vestdanmark'!H269+'Resultater - Østdanmark'!H269</f>
        <v>8563.900760438235</v>
      </c>
      <c r="I269" s="255">
        <f>'Resultater - Vestdanmark'!I269+'Resultater - Østdanmark'!I269</f>
        <v>8148.4734335189542</v>
      </c>
      <c r="J269" s="256">
        <f>'Resultater - Vestdanmark'!J269+'Resultater - Østdanmark'!J269</f>
        <v>7209.0305494734839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4">
        <f>'Resultater - Vestdanmark'!H270+'Resultater - Østdanmark'!H270</f>
        <v>1136.9217413253709</v>
      </c>
      <c r="I270" s="255">
        <f>'Resultater - Vestdanmark'!I270+'Resultater - Østdanmark'!I270</f>
        <v>1120.7549625938482</v>
      </c>
      <c r="J270" s="256">
        <f>'Resultater - Vestdanmark'!J270+'Resultater - Østdanmark'!J270</f>
        <v>953.5619030306425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4">
        <f>'Resultater - Vestdanmark'!H271+'Resultater - Østdanmark'!H271</f>
        <v>-15623.188435959159</v>
      </c>
      <c r="I271" s="255">
        <f>'Resultater - Vestdanmark'!I271+'Resultater - Østdanmark'!I271</f>
        <v>-14393.486084337696</v>
      </c>
      <c r="J271" s="256">
        <f>'Resultater - Vestdanmark'!J271+'Resultater - Østdanmark'!J271</f>
        <v>-11394.365615497343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4">
        <f>'Resultater - Vestdanmark'!H272+'Resultater - Østdanmark'!H272</f>
        <v>1189.7832867844982</v>
      </c>
      <c r="I272" s="255">
        <f>'Resultater - Vestdanmark'!I272+'Resultater - Østdanmark'!I272</f>
        <v>1096.1353536704542</v>
      </c>
      <c r="J272" s="256">
        <f>'Resultater - Vestdanmark'!J272+'Resultater - Østdanmark'!J272</f>
        <v>867.73745502727161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4">
        <f>'Resultater - Vestdanmark'!H273+'Resultater - Østdanmark'!H273</f>
        <v>769.15923740920027</v>
      </c>
      <c r="I273" s="255">
        <f>'Resultater - Vestdanmark'!I273+'Resultater - Østdanmark'!I273</f>
        <v>600.32803988700994</v>
      </c>
      <c r="J273" s="256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4">
        <f>'Resultater - Vestdanmark'!H274+'Resultater - Østdanmark'!H274</f>
        <v>-9059.5905466336899</v>
      </c>
      <c r="I274" s="255">
        <f>'Resultater - Vestdanmark'!I274+'Resultater - Østdanmark'!I274</f>
        <v>-6608.4127548298711</v>
      </c>
      <c r="J274" s="256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4">
        <f>'Resultater - Vestdanmark'!H275+'Resultater - Østdanmark'!H275</f>
        <v>1844.3834346765289</v>
      </c>
      <c r="I275" s="255">
        <f>'Resultater - Vestdanmark'!I275+'Resultater - Østdanmark'!I275</f>
        <v>1345.3640042310976</v>
      </c>
      <c r="J275" s="256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4">
        <f>'Resultater - Vestdanmark'!H276+'Resultater - Østdanmark'!H276</f>
        <v>2695.7401202602077</v>
      </c>
      <c r="I276" s="255">
        <f>'Resultater - Vestdanmark'!I276+'Resultater - Østdanmark'!I276</f>
        <v>3349.9956673542247</v>
      </c>
      <c r="J276" s="256">
        <f>'Resultater - Vestdanmark'!J276+'Resultater - Østdanmark'!J276</f>
        <v>4329.3765363184229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4">
        <f>'Resultater - Vestdanmark'!H277+'Resultater - Østdanmark'!H277</f>
        <v>-44452.722831145948</v>
      </c>
      <c r="I277" s="255">
        <f>'Resultater - Vestdanmark'!I277+'Resultater - Østdanmark'!I277</f>
        <v>-51627.466445360827</v>
      </c>
      <c r="J277" s="256">
        <f>'Resultater - Vestdanmark'!J277+'Resultater - Østdanmark'!J277</f>
        <v>-62079.450513092561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4">
        <f>'Resultater - Vestdanmark'!H278+'Resultater - Østdanmark'!H278</f>
        <v>1094.9933194057135</v>
      </c>
      <c r="I278" s="255">
        <f>'Resultater - Vestdanmark'!I278+'Resultater - Østdanmark'!I278</f>
        <v>1271.7270676590276</v>
      </c>
      <c r="J278" s="256">
        <f>'Resultater - Vestdanmark'!J278+'Resultater - Østdanmark'!J278</f>
        <v>1529.1882983731634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4">
        <f>'Resultater - Vestdanmark'!H279+'Resultater - Østdanmark'!H279</f>
        <v>82.860065216772895</v>
      </c>
      <c r="I279" s="255">
        <f>'Resultater - Vestdanmark'!I279+'Resultater - Østdanmark'!I279</f>
        <v>99.70184320415791</v>
      </c>
      <c r="J279" s="256">
        <f>'Resultater - Vestdanmark'!J279+'Resultater - Østdanmark'!J279</f>
        <v>115.29430282097766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4">
        <f>'Resultater - Vestdanmark'!H280+'Resultater - Østdanmark'!H280</f>
        <v>-1138.6345828767378</v>
      </c>
      <c r="I280" s="255">
        <f>'Resultater - Vestdanmark'!I280+'Resultater - Østdanmark'!I280</f>
        <v>-1280.4378661153592</v>
      </c>
      <c r="J280" s="256">
        <f>'Resultater - Vestdanmark'!J280+'Resultater - Østdanmark'!J280</f>
        <v>-1377.6823880555876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4">
        <f>'Resultater - Vestdanmark'!H281+'Resultater - Østdanmark'!H281</f>
        <v>152.12749271780797</v>
      </c>
      <c r="I281" s="255">
        <f>'Resultater - Vestdanmark'!I281+'Resultater - Østdanmark'!I281</f>
        <v>171.07314768267204</v>
      </c>
      <c r="J281" s="256">
        <f>'Resultater - Vestdanmark'!J281+'Resultater - Østdanmark'!J281</f>
        <v>184.06552076336061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4">
        <f>'Resultater - Vestdanmark'!H282+'Resultater - Østdanmark'!H282</f>
        <v>56.05714294768709</v>
      </c>
      <c r="I282" s="255">
        <f>'Resultater - Vestdanmark'!I282+'Resultater - Østdanmark'!I282</f>
        <v>53.404904820006266</v>
      </c>
      <c r="J282" s="256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4">
        <f>'Resultater - Vestdanmark'!H283+'Resultater - Østdanmark'!H283</f>
        <v>-660.27259066769261</v>
      </c>
      <c r="I283" s="255">
        <f>'Resultater - Vestdanmark'!I283+'Resultater - Østdanmark'!I283</f>
        <v>-587.88134275625282</v>
      </c>
      <c r="J283" s="256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4">
        <f>'Resultater - Vestdanmark'!H284+'Resultater - Østdanmark'!H284</f>
        <v>235.82565887767433</v>
      </c>
      <c r="I284" s="255">
        <f>'Resultater - Vestdanmark'!I284+'Resultater - Østdanmark'!I284</f>
        <v>209.97010470658751</v>
      </c>
      <c r="J284" s="256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4">
        <f>'Resultater - Vestdanmark'!H285+'Resultater - Østdanmark'!H285</f>
        <v>1770707.1441729828</v>
      </c>
      <c r="I285" s="255">
        <f>'Resultater - Vestdanmark'!I285+'Resultater - Østdanmark'!I285</f>
        <v>1797780.9128822538</v>
      </c>
      <c r="J285" s="256">
        <f>'Resultater - Vestdanmark'!J285+'Resultater - Østdanmark'!J285</f>
        <v>1694512.9181692624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4">
        <f>'Resultater - Vestdanmark'!H286+'Resultater - Østdanmark'!H286</f>
        <v>-8443698.8320951127</v>
      </c>
      <c r="I286" s="255">
        <f>'Resultater - Vestdanmark'!I286+'Resultater - Østdanmark'!I286</f>
        <v>-8011963.8776844591</v>
      </c>
      <c r="J286" s="256">
        <f>'Resultater - Vestdanmark'!J286+'Resultater - Østdanmark'!J286</f>
        <v>-7026402.7346609719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4">
        <f>'Resultater - Vestdanmark'!H287+'Resultater - Østdanmark'!H287</f>
        <v>135120.63677615169</v>
      </c>
      <c r="I287" s="255">
        <f>'Resultater - Vestdanmark'!I287+'Resultater - Østdanmark'!I287</f>
        <v>128211.78046584016</v>
      </c>
      <c r="J287" s="256">
        <f>'Resultater - Vestdanmark'!J287+'Resultater - Østdanmark'!J287</f>
        <v>112440.2978638106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4">
        <f>'Resultater - Vestdanmark'!H288+'Resultater - Østdanmark'!H288</f>
        <v>59290.041004910265</v>
      </c>
      <c r="I288" s="255">
        <f>'Resultater - Vestdanmark'!I288+'Resultater - Østdanmark'!I288</f>
        <v>58431.353949577038</v>
      </c>
      <c r="J288" s="256">
        <f>'Resultater - Vestdanmark'!J288+'Resultater - Østdanmark'!J288</f>
        <v>49714.625344922446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4">
        <f>'Resultater - Vestdanmark'!H289+'Resultater - Østdanmark'!H289</f>
        <v>-207278.07918935828</v>
      </c>
      <c r="I289" s="255">
        <f>'Resultater - Vestdanmark'!I289+'Resultater - Østdanmark'!I289</f>
        <v>-190912.25033264939</v>
      </c>
      <c r="J289" s="256">
        <f>'Resultater - Vestdanmark'!J289+'Resultater - Østdanmark'!J289</f>
        <v>-151132.5309255445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4">
        <f>'Resultater - Vestdanmark'!H290+'Resultater - Østdanmark'!H290</f>
        <v>26517.821531805323</v>
      </c>
      <c r="I290" s="255">
        <f>'Resultater - Vestdanmark'!I290+'Resultater - Østdanmark'!I290</f>
        <v>24424.082866628829</v>
      </c>
      <c r="J290" s="256">
        <f>'Resultater - Vestdanmark'!J290+'Resultater - Østdanmark'!J290</f>
        <v>19334.92194836682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4">
        <f>'Resultater - Vestdanmark'!H291+'Resultater - Østdanmark'!H291</f>
        <v>39797.443271560704</v>
      </c>
      <c r="I291" s="255">
        <f>'Resultater - Vestdanmark'!I291+'Resultater - Østdanmark'!I291</f>
        <v>30913.169604453007</v>
      </c>
      <c r="J291" s="256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4">
        <f>'Resultater - Vestdanmark'!H292+'Resultater - Østdanmark'!H292</f>
        <v>-102957.62524429863</v>
      </c>
      <c r="I292" s="255">
        <f>'Resultater - Vestdanmark'!I292+'Resultater - Østdanmark'!I292</f>
        <v>-74741.72268202831</v>
      </c>
      <c r="J292" s="256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4">
        <f>'Resultater - Vestdanmark'!H293+'Resultater - Østdanmark'!H293</f>
        <v>39069.861329482206</v>
      </c>
      <c r="I293" s="255">
        <f>'Resultater - Vestdanmark'!I293+'Resultater - Østdanmark'!I293</f>
        <v>28362.627185548525</v>
      </c>
      <c r="J293" s="256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4">
        <f>'Resultater - Vestdanmark'!H294+'Resultater - Østdanmark'!H294</f>
        <v>129051.01918003485</v>
      </c>
      <c r="I294" s="255">
        <f>'Resultater - Vestdanmark'!I294+'Resultater - Østdanmark'!I294</f>
        <v>159929.75866623054</v>
      </c>
      <c r="J294" s="256">
        <f>'Resultater - Vestdanmark'!J294+'Resultater - Østdanmark'!J294</f>
        <v>204882.01646955626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4">
        <f>'Resultater - Vestdanmark'!H295+'Resultater - Østdanmark'!H295</f>
        <v>-615385.74773192033</v>
      </c>
      <c r="I295" s="255">
        <f>'Resultater - Vestdanmark'!I295+'Resultater - Østdanmark'!I295</f>
        <v>-712740.6016044151</v>
      </c>
      <c r="J295" s="256">
        <f>'Resultater - Vestdanmark'!J295+'Resultater - Østdanmark'!J295</f>
        <v>-849555.9670090084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4">
        <f>'Resultater - Vestdanmark'!H296+'Resultater - Østdanmark'!H296</f>
        <v>17276.729229188404</v>
      </c>
      <c r="I296" s="255">
        <f>'Resultater - Vestdanmark'!I296+'Resultater - Østdanmark'!I296</f>
        <v>20009.93105536234</v>
      </c>
      <c r="J296" s="256">
        <f>'Resultater - Vestdanmark'!J296+'Resultater - Østdanmark'!J296</f>
        <v>23850.972274141641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4">
        <f>'Resultater - Vestdanmark'!H297+'Resultater - Østdanmark'!H297</f>
        <v>4321.1212221563428</v>
      </c>
      <c r="I297" s="255">
        <f>'Resultater - Vestdanmark'!I297+'Resultater - Østdanmark'!I297</f>
        <v>5198.02622707509</v>
      </c>
      <c r="J297" s="256">
        <f>'Resultater - Vestdanmark'!J297+'Resultater - Østdanmark'!J297</f>
        <v>6010.9501553406226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4">
        <f>'Resultater - Vestdanmark'!H298+'Resultater - Østdanmark'!H298</f>
        <v>-15106.646777302138</v>
      </c>
      <c r="I298" s="255">
        <f>'Resultater - Vestdanmark'!I298+'Resultater - Østdanmark'!I298</f>
        <v>-16983.465506470951</v>
      </c>
      <c r="J298" s="256">
        <f>'Resultater - Vestdanmark'!J298+'Resultater - Østdanmark'!J298</f>
        <v>-18273.296920997658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4">
        <f>'Resultater - Vestdanmark'!H299+'Resultater - Østdanmark'!H299</f>
        <v>3390.6088165638589</v>
      </c>
      <c r="I299" s="255">
        <f>'Resultater - Vestdanmark'!I299+'Resultater - Østdanmark'!I299</f>
        <v>3811.851083231089</v>
      </c>
      <c r="J299" s="256">
        <f>'Resultater - Vestdanmark'!J299+'Resultater - Østdanmark'!J299</f>
        <v>4101.3470799565985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4">
        <f>'Resultater - Vestdanmark'!H300+'Resultater - Østdanmark'!H300</f>
        <v>2900.4799759551861</v>
      </c>
      <c r="I300" s="255">
        <f>'Resultater - Vestdanmark'!I300+'Resultater - Østdanmark'!I300</f>
        <v>2750.0212729048085</v>
      </c>
      <c r="J300" s="256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4">
        <f>'Resultater - Vestdanmark'!H301+'Resultater - Østdanmark'!H301</f>
        <v>-7503.6611863552844</v>
      </c>
      <c r="I301" s="255">
        <f>'Resultater - Vestdanmark'!I301+'Resultater - Østdanmark'!I301</f>
        <v>-6648.9890871469124</v>
      </c>
      <c r="J301" s="256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4">
        <f>'Resultater - Vestdanmark'!H302+'Resultater - Østdanmark'!H302</f>
        <v>4995.5316324451924</v>
      </c>
      <c r="I302" s="255">
        <f>'Resultater - Vestdanmark'!I302+'Resultater - Østdanmark'!I302</f>
        <v>4426.5371908081515</v>
      </c>
      <c r="J302" s="256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4">
        <f>'Resultater - Vestdanmark'!H303+'Resultater - Østdanmark'!H303</f>
        <v>6824552.1371091604</v>
      </c>
      <c r="I303" s="255">
        <f>'Resultater - Vestdanmark'!I303+'Resultater - Østdanmark'!I303</f>
        <v>6912772.6774813673</v>
      </c>
      <c r="J303" s="256">
        <f>'Resultater - Vestdanmark'!J303+'Resultater - Østdanmark'!J303</f>
        <v>6467131.3883805983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4">
        <f>'Resultater - Vestdanmark'!H304+'Resultater - Østdanmark'!H304</f>
        <v>-24532202.694618411</v>
      </c>
      <c r="I304" s="255">
        <f>'Resultater - Vestdanmark'!I304+'Resultater - Østdanmark'!I304</f>
        <v>-23223671.849380035</v>
      </c>
      <c r="J304" s="256">
        <f>'Resultater - Vestdanmark'!J304+'Resultater - Østdanmark'!J304</f>
        <v>-20215115.746161502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4">
        <f>'Resultater - Vestdanmark'!H305+'Resultater - Østdanmark'!H305</f>
        <v>348617.06930478453</v>
      </c>
      <c r="I305" s="255">
        <f>'Resultater - Vestdanmark'!I305+'Resultater - Østdanmark'!I305</f>
        <v>330022.07422666269</v>
      </c>
      <c r="J305" s="256">
        <f>'Resultater - Vestdanmark'!J305+'Resultater - Østdanmark'!J305</f>
        <v>287268.71756321279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4">
        <f>'Resultater - Vestdanmark'!H306+'Resultater - Østdanmark'!H306</f>
        <v>263505.94367690803</v>
      </c>
      <c r="I306" s="255">
        <f>'Resultater - Vestdanmark'!I306+'Resultater - Østdanmark'!I306</f>
        <v>259639.50711667008</v>
      </c>
      <c r="J306" s="256">
        <f>'Resultater - Vestdanmark'!J306+'Resultater - Østdanmark'!J306</f>
        <v>220906.75550979626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4">
        <f>'Resultater - Vestdanmark'!H307+'Resultater - Østdanmark'!H307</f>
        <v>-641349.74683588033</v>
      </c>
      <c r="I307" s="255">
        <f>'Resultater - Vestdanmark'!I307+'Resultater - Østdanmark'!I307</f>
        <v>-590597.37223752285</v>
      </c>
      <c r="J307" s="256">
        <f>'Resultater - Vestdanmark'!J307+'Resultater - Østdanmark'!J307</f>
        <v>-467536.65869375569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4">
        <f>'Resultater - Vestdanmark'!H308+'Resultater - Østdanmark'!H308</f>
        <v>78894.37795433517</v>
      </c>
      <c r="I308" s="255">
        <f>'Resultater - Vestdanmark'!I308+'Resultater - Østdanmark'!I308</f>
        <v>72651.174392788511</v>
      </c>
      <c r="J308" s="256">
        <f>'Resultater - Vestdanmark'!J308+'Resultater - Østdanmark'!J308</f>
        <v>57513.102703276192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4">
        <f>'Resultater - Vestdanmark'!H309+'Resultater - Østdanmark'!H309</f>
        <v>104547.38485235954</v>
      </c>
      <c r="I309" s="255">
        <f>'Resultater - Vestdanmark'!I309+'Resultater - Østdanmark'!I309</f>
        <v>80922.146592858538</v>
      </c>
      <c r="J309" s="256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4">
        <f>'Resultater - Vestdanmark'!H310+'Resultater - Østdanmark'!H310</f>
        <v>-167775.11450454078</v>
      </c>
      <c r="I310" s="255">
        <f>'Resultater - Vestdanmark'!I310+'Resultater - Østdanmark'!I310</f>
        <v>-121366.26502206421</v>
      </c>
      <c r="J310" s="256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4">
        <f>'Resultater - Vestdanmark'!H311+'Resultater - Østdanmark'!H311</f>
        <v>68706.752116598291</v>
      </c>
      <c r="I311" s="255">
        <f>'Resultater - Vestdanmark'!I311+'Resultater - Østdanmark'!I311</f>
        <v>49701.541917068134</v>
      </c>
      <c r="J311" s="256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4">
        <f>'Resultater - Vestdanmark'!H312+'Resultater - Østdanmark'!H312</f>
        <v>724255.98356433213</v>
      </c>
      <c r="I312" s="255">
        <f>'Resultater - Vestdanmark'!I312+'Resultater - Østdanmark'!I312</f>
        <v>895463.79018703708</v>
      </c>
      <c r="J312" s="256">
        <f>'Resultater - Vestdanmark'!J312+'Resultater - Østdanmark'!J312</f>
        <v>1138607.0717118566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4">
        <f>'Resultater - Vestdanmark'!H313+'Resultater - Østdanmark'!H313</f>
        <v>-2603481.405758102</v>
      </c>
      <c r="I313" s="255">
        <f>'Resultater - Vestdanmark'!I313+'Resultater - Østdanmark'!I313</f>
        <v>-3008338.0702000372</v>
      </c>
      <c r="J313" s="256">
        <f>'Resultater - Vestdanmark'!J313+'Resultater - Østdanmark'!J313</f>
        <v>-3559085.5298544941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4">
        <f>'Resultater - Vestdanmark'!H314+'Resultater - Østdanmark'!H314</f>
        <v>44574.706386485894</v>
      </c>
      <c r="I314" s="255">
        <f>'Resultater - Vestdanmark'!I314+'Resultater - Østdanmark'!I314</f>
        <v>51506.335283930006</v>
      </c>
      <c r="J314" s="256">
        <f>'Resultater - Vestdanmark'!J314+'Resultater - Østdanmark'!J314</f>
        <v>60935.788574014834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4">
        <f>'Resultater - Vestdanmark'!H315+'Resultater - Østdanmark'!H315</f>
        <v>27964.583254485577</v>
      </c>
      <c r="I315" s="255">
        <f>'Resultater - Vestdanmark'!I315+'Resultater - Østdanmark'!I315</f>
        <v>33633.071413205653</v>
      </c>
      <c r="J315" s="256">
        <f>'Resultater - Vestdanmark'!J315+'Resultater - Østdanmark'!J315</f>
        <v>38892.977257936851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4">
        <f>'Resultater - Vestdanmark'!H316+'Resultater - Østdanmark'!H316</f>
        <v>-68063.278347246393</v>
      </c>
      <c r="I316" s="255">
        <f>'Resultater - Vestdanmark'!I316+'Resultater - Østdanmark'!I316</f>
        <v>-76504.549779438661</v>
      </c>
      <c r="J316" s="256">
        <f>'Resultater - Vestdanmark'!J316+'Resultater - Østdanmark'!J316</f>
        <v>-82314.787485173336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4">
        <f>'Resultater - Vestdanmark'!H317+'Resultater - Østdanmark'!H317</f>
        <v>10087.55463371877</v>
      </c>
      <c r="I317" s="255">
        <f>'Resultater - Vestdanmark'!I317+'Resultater - Østdanmark'!I317</f>
        <v>11338.622593094164</v>
      </c>
      <c r="J317" s="256">
        <f>'Resultater - Vestdanmark'!J317+'Resultater - Østdanmark'!J317</f>
        <v>12199.749058270705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4">
        <f>'Resultater - Vestdanmark'!H318+'Resultater - Østdanmark'!H318</f>
        <v>11095.097161555068</v>
      </c>
      <c r="I318" s="255">
        <f>'Resultater - Vestdanmark'!I318+'Resultater - Østdanmark'!I318</f>
        <v>10482.458411248321</v>
      </c>
      <c r="J318" s="256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4">
        <f>'Resultater - Vestdanmark'!H319+'Resultater - Østdanmark'!H319</f>
        <v>-17805.143565739752</v>
      </c>
      <c r="I319" s="255">
        <f>'Resultater - Vestdanmark'!I319+'Resultater - Østdanmark'!I319</f>
        <v>-15721.491324534445</v>
      </c>
      <c r="J319" s="256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4">
        <f>'Resultater - Vestdanmark'!H320+'Resultater - Østdanmark'!H320</f>
        <v>8784.9493671490909</v>
      </c>
      <c r="I320" s="255">
        <f>'Resultater - Vestdanmark'!I320+'Resultater - Østdanmark'!I320</f>
        <v>7756.8880448603441</v>
      </c>
      <c r="J320" s="256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4">
        <f>'Resultater - Vestdanmark'!H321+'Resultater - Østdanmark'!H321</f>
        <v>613620.0150142312</v>
      </c>
      <c r="I321" s="255">
        <f>'Resultater - Vestdanmark'!I321+'Resultater - Østdanmark'!I321</f>
        <v>623812.18346642028</v>
      </c>
      <c r="J321" s="256">
        <f>'Resultater - Vestdanmark'!J321+'Resultater - Østdanmark'!J321</f>
        <v>590418.45177888963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4">
        <f>'Resultater - Vestdanmark'!H322+'Resultater - Østdanmark'!H322</f>
        <v>327737.51811917598</v>
      </c>
      <c r="I322" s="255">
        <f>'Resultater - Vestdanmark'!I322+'Resultater - Østdanmark'!I322</f>
        <v>449144.7720958225</v>
      </c>
      <c r="J322" s="256">
        <f>'Resultater - Vestdanmark'!J322+'Resultater - Østdanmark'!J322</f>
        <v>478238.94594090065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4">
        <f>'Resultater - Vestdanmark'!H323+'Resultater - Østdanmark'!H323</f>
        <v>-24405341.506247833</v>
      </c>
      <c r="I323" s="255">
        <f>'Resultater - Vestdanmark'!I323+'Resultater - Østdanmark'!I323</f>
        <v>-23187581.161134988</v>
      </c>
      <c r="J323" s="256">
        <f>'Resultater - Vestdanmark'!J323+'Resultater - Østdanmark'!J323</f>
        <v>-20419610.486424051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4">
        <f>'Resultater - Vestdanmark'!H324+'Resultater - Østdanmark'!H324</f>
        <v>317087.35725322756</v>
      </c>
      <c r="I324" s="255">
        <f>'Resultater - Vestdanmark'!I324+'Resultater - Østdanmark'!I324</f>
        <v>301265.55818105489</v>
      </c>
      <c r="J324" s="256">
        <f>'Resultater - Vestdanmark'!J324+'Resultater - Østdanmark'!J324</f>
        <v>265302.59056702518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4">
        <f>'Resultater - Vestdanmark'!H325+'Resultater - Østdanmark'!H325</f>
        <v>13566.838006498305</v>
      </c>
      <c r="I325" s="255">
        <f>'Resultater - Vestdanmark'!I325+'Resultater - Østdanmark'!I325</f>
        <v>13371.955282074905</v>
      </c>
      <c r="J325" s="256">
        <f>'Resultater - Vestdanmark'!J325+'Resultater - Østdanmark'!J325</f>
        <v>11377.140901973276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4">
        <f>'Resultater - Vestdanmark'!H326+'Resultater - Østdanmark'!H326</f>
        <v>7246.116013460778</v>
      </c>
      <c r="I326" s="255">
        <f>'Resultater - Vestdanmark'!I326+'Resultater - Østdanmark'!I326</f>
        <v>9627.8078030939323</v>
      </c>
      <c r="J326" s="256">
        <f>'Resultater - Vestdanmark'!J326+'Resultater - Østdanmark'!J326</f>
        <v>9215.4841305983537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4">
        <f>'Resultater - Vestdanmark'!H327+'Resultater - Østdanmark'!H327</f>
        <v>-372574.14979966939</v>
      </c>
      <c r="I327" s="255">
        <f>'Resultater - Vestdanmark'!I327+'Resultater - Østdanmark'!I327</f>
        <v>-343198.37084056588</v>
      </c>
      <c r="J327" s="256">
        <f>'Resultater - Vestdanmark'!J327+'Resultater - Østdanmark'!J327</f>
        <v>-271687.32391075842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4">
        <f>'Resultater - Vestdanmark'!H328+'Resultater - Østdanmark'!H328</f>
        <v>41090.289191876247</v>
      </c>
      <c r="I328" s="255">
        <f>'Resultater - Vestdanmark'!I328+'Resultater - Østdanmark'!I328</f>
        <v>37850.5065786294</v>
      </c>
      <c r="J328" s="256">
        <f>'Resultater - Vestdanmark'!J328+'Resultater - Østdanmark'!J328</f>
        <v>29963.728603454299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4">
        <f>'Resultater - Vestdanmark'!H329+'Resultater - Østdanmark'!H329</f>
        <v>6570.1536799285823</v>
      </c>
      <c r="I329" s="255">
        <f>'Resultater - Vestdanmark'!I329+'Resultater - Østdanmark'!I329</f>
        <v>5114.5274933839264</v>
      </c>
      <c r="J329" s="256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4">
        <f>'Resultater - Vestdanmark'!H330+'Resultater - Østdanmark'!H330</f>
        <v>3509.1519312182554</v>
      </c>
      <c r="I330" s="255">
        <f>'Resultater - Vestdanmark'!I330+'Resultater - Østdanmark'!I330</f>
        <v>3682.4597952364265</v>
      </c>
      <c r="J330" s="256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4">
        <f>'Resultater - Vestdanmark'!H331+'Resultater - Østdanmark'!H331</f>
        <v>-122657.08980386153</v>
      </c>
      <c r="I331" s="255">
        <f>'Resultater - Vestdanmark'!I331+'Resultater - Østdanmark'!I331</f>
        <v>-89235.747927411008</v>
      </c>
      <c r="J331" s="256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4">
        <f>'Resultater - Vestdanmark'!H332+'Resultater - Østdanmark'!H332</f>
        <v>43678.396988286549</v>
      </c>
      <c r="I332" s="255">
        <f>'Resultater - Vestdanmark'!I332+'Resultater - Østdanmark'!I332</f>
        <v>31777.000658933124</v>
      </c>
      <c r="J332" s="256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4">
        <f>'Resultater - Vestdanmark'!H333+'Resultater - Østdanmark'!H333</f>
        <v>43152.111373008069</v>
      </c>
      <c r="I333" s="255">
        <f>'Resultater - Vestdanmark'!I333+'Resultater - Østdanmark'!I333</f>
        <v>53546.883956510654</v>
      </c>
      <c r="J333" s="256">
        <f>'Resultater - Vestdanmark'!J333+'Resultater - Østdanmark'!J333</f>
        <v>68882.152707537141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4">
        <f>'Resultater - Vestdanmark'!H334+'Resultater - Østdanmark'!H334</f>
        <v>23047.758444880474</v>
      </c>
      <c r="I334" s="255">
        <f>'Resultater - Vestdanmark'!I334+'Resultater - Østdanmark'!I334</f>
        <v>38553.756448687665</v>
      </c>
      <c r="J334" s="256">
        <f>'Resultater - Vestdanmark'!J334+'Resultater - Østdanmark'!J334</f>
        <v>55794.543693105072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4">
        <f>'Resultater - Vestdanmark'!H335+'Resultater - Østdanmark'!H335</f>
        <v>-1716277.1568810029</v>
      </c>
      <c r="I335" s="255">
        <f>'Resultater - Vestdanmark'!I335+'Resultater - Østdanmark'!I335</f>
        <v>-1990379.0765482928</v>
      </c>
      <c r="J335" s="256">
        <f>'Resultater - Vestdanmark'!J335+'Resultater - Østdanmark'!J335</f>
        <v>-2382287.8900828063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4">
        <f>'Resultater - Vestdanmark'!H336+'Resultater - Østdanmark'!H336</f>
        <v>40543.269658642035</v>
      </c>
      <c r="I336" s="255">
        <f>'Resultater - Vestdanmark'!I336+'Resultater - Østdanmark'!I336</f>
        <v>47018.32410918198</v>
      </c>
      <c r="J336" s="256">
        <f>'Resultater - Vestdanmark'!J336+'Resultater - Østdanmark'!J336</f>
        <v>56276.307089975046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4">
        <f>'Resultater - Vestdanmark'!H337+'Resultater - Østdanmark'!H337</f>
        <v>954.07204835454411</v>
      </c>
      <c r="I337" s="255">
        <f>'Resultater - Vestdanmark'!I337+'Resultater - Østdanmark'!I337</f>
        <v>1147.8239071607652</v>
      </c>
      <c r="J337" s="256">
        <f>'Resultater - Vestdanmark'!J337+'Resultater - Østdanmark'!J337</f>
        <v>1327.3331052302156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4">
        <f>'Resultater - Vestdanmark'!H338+'Resultater - Østdanmark'!H338</f>
        <v>509.57465138640373</v>
      </c>
      <c r="I338" s="255">
        <f>'Resultater - Vestdanmark'!I338+'Resultater - Østdanmark'!I338</f>
        <v>826.43321315575088</v>
      </c>
      <c r="J338" s="256">
        <f>'Resultater - Vestdanmark'!J338+'Resultater - Østdanmark'!J338</f>
        <v>1075.1398152364745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4">
        <f>'Resultater - Vestdanmark'!H339+'Resultater - Østdanmark'!H339</f>
        <v>-26200.842237009252</v>
      </c>
      <c r="I339" s="255">
        <f>'Resultater - Vestdanmark'!I339+'Resultater - Østdanmark'!I339</f>
        <v>-29459.513335158408</v>
      </c>
      <c r="J339" s="256">
        <f>'Resultater - Vestdanmark'!J339+'Resultater - Østdanmark'!J339</f>
        <v>-31696.854456255151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4">
        <f>'Resultater - Vestdanmark'!H340+'Resultater - Østdanmark'!H340</f>
        <v>5253.8665984320505</v>
      </c>
      <c r="I340" s="255">
        <f>'Resultater - Vestdanmark'!I340+'Resultater - Østdanmark'!I340</f>
        <v>5907.3044949306013</v>
      </c>
      <c r="J340" s="256">
        <f>'Resultater - Vestdanmark'!J340+'Resultater - Østdanmark'!J340</f>
        <v>6355.9424310357608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4">
        <f>'Resultater - Vestdanmark'!H341+'Resultater - Østdanmark'!H341</f>
        <v>462.03838922607775</v>
      </c>
      <c r="I341" s="255">
        <f>'Resultater - Vestdanmark'!I341+'Resultater - Østdanmark'!I341</f>
        <v>439.02157963440061</v>
      </c>
      <c r="J341" s="256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4">
        <f>'Resultater - Vestdanmark'!H342+'Resultater - Østdanmark'!H342</f>
        <v>246.77701387759424</v>
      </c>
      <c r="I342" s="255">
        <f>'Resultater - Vestdanmark'!I342+'Resultater - Østdanmark'!I342</f>
        <v>316.09553733676842</v>
      </c>
      <c r="J342" s="256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4">
        <f>'Resultater - Vestdanmark'!H343+'Resultater - Østdanmark'!H343</f>
        <v>-8625.7166819803479</v>
      </c>
      <c r="I343" s="255">
        <f>'Resultater - Vestdanmark'!I343+'Resultater - Østdanmark'!I343</f>
        <v>-7659.8315417459753</v>
      </c>
      <c r="J343" s="256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4">
        <f>'Resultater - Vestdanmark'!H344+'Resultater - Østdanmark'!H344</f>
        <v>5584.7859804107484</v>
      </c>
      <c r="I344" s="255">
        <f>'Resultater - Vestdanmark'!I344+'Resultater - Østdanmark'!I344</f>
        <v>4959.4162878103716</v>
      </c>
      <c r="J344" s="256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4">
        <f>'Resultater - Vestdanmark'!H345+'Resultater - Østdanmark'!H345</f>
        <v>1241441.5414695307</v>
      </c>
      <c r="I345" s="255">
        <f>'Resultater - Vestdanmark'!I345+'Resultater - Østdanmark'!I345</f>
        <v>1264693.7706541144</v>
      </c>
      <c r="J345" s="256">
        <f>'Resultater - Vestdanmark'!J345+'Resultater - Østdanmark'!J345</f>
        <v>1204907.9399650127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4">
        <f>'Resultater - Vestdanmark'!H346+'Resultater - Østdanmark'!H346</f>
        <v>206239.95017814124</v>
      </c>
      <c r="I346" s="255">
        <f>'Resultater - Vestdanmark'!I346+'Resultater - Østdanmark'!I346</f>
        <v>283229.02253801329</v>
      </c>
      <c r="J346" s="256">
        <f>'Resultater - Vestdanmark'!J346+'Resultater - Østdanmark'!J346</f>
        <v>303569.93863153527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4">
        <f>'Resultater - Vestdanmark'!H347+'Resultater - Østdanmark'!H347</f>
        <v>-13032265.787648994</v>
      </c>
      <c r="I347" s="255">
        <f>'Resultater - Vestdanmark'!I347+'Resultater - Østdanmark'!I347</f>
        <v>-12407813.487354554</v>
      </c>
      <c r="J347" s="256">
        <f>'Resultater - Vestdanmark'!J347+'Resultater - Østdanmark'!J347</f>
        <v>-10998910.819983162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4">
        <f>'Resultater - Vestdanmark'!H348+'Resultater - Østdanmark'!H348</f>
        <v>197542.59544633992</v>
      </c>
      <c r="I348" s="255">
        <f>'Resultater - Vestdanmark'!I348+'Resultater - Østdanmark'!I348</f>
        <v>188077.17092672118</v>
      </c>
      <c r="J348" s="256">
        <f>'Resultater - Vestdanmark'!J348+'Resultater - Østdanmark'!J348</f>
        <v>166721.07719913736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4">
        <f>'Resultater - Vestdanmark'!H349+'Resultater - Østdanmark'!H349</f>
        <v>87728.525972100848</v>
      </c>
      <c r="I349" s="255">
        <f>'Resultater - Vestdanmark'!I349+'Resultater - Østdanmark'!I349</f>
        <v>86486.850848499191</v>
      </c>
      <c r="J349" s="256">
        <f>'Resultater - Vestdanmark'!J349+'Resultater - Østdanmark'!J349</f>
        <v>73584.832398470375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4">
        <f>'Resultater - Vestdanmark'!H350+'Resultater - Østdanmark'!H350</f>
        <v>14574.288213579908</v>
      </c>
      <c r="I350" s="255">
        <f>'Resultater - Vestdanmark'!I350+'Resultater - Østdanmark'!I350</f>
        <v>19368.78855309137</v>
      </c>
      <c r="J350" s="256">
        <f>'Resultater - Vestdanmark'!J350+'Resultater - Østdanmark'!J350</f>
        <v>18539.294426148525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4">
        <f>'Resultater - Vestdanmark'!H351+'Resultater - Østdanmark'!H351</f>
        <v>-690710.01096458826</v>
      </c>
      <c r="I351" s="255">
        <f>'Resultater - Vestdanmark'!I351+'Resultater - Østdanmark'!I351</f>
        <v>-636386.89025197981</v>
      </c>
      <c r="J351" s="256">
        <f>'Resultater - Vestdanmark'!J351+'Resultater - Østdanmark'!J351</f>
        <v>-503785.17462360126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4">
        <f>'Resultater - Vestdanmark'!H352+'Resultater - Østdanmark'!H352</f>
        <v>81819.432532653533</v>
      </c>
      <c r="I352" s="255">
        <f>'Resultater - Vestdanmark'!I352+'Resultater - Østdanmark'!I352</f>
        <v>75384.478876919791</v>
      </c>
      <c r="J352" s="256">
        <f>'Resultater - Vestdanmark'!J352+'Resultater - Østdanmark'!J352</f>
        <v>59676.878070006831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4">
        <f>'Resultater - Vestdanmark'!H353+'Resultater - Østdanmark'!H353</f>
        <v>76654.605084511393</v>
      </c>
      <c r="I353" s="255">
        <f>'Resultater - Vestdanmark'!I353+'Resultater - Østdanmark'!I353</f>
        <v>59900.193224667826</v>
      </c>
      <c r="J353" s="256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4">
        <f>'Resultater - Vestdanmark'!H354+'Resultater - Østdanmark'!H354</f>
        <v>12734.584275986817</v>
      </c>
      <c r="I354" s="255">
        <f>'Resultater - Vestdanmark'!I354+'Resultater - Østdanmark'!I354</f>
        <v>13414.688654697853</v>
      </c>
      <c r="J354" s="256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4">
        <f>'Resultater - Vestdanmark'!H355+'Resultater - Østdanmark'!H355</f>
        <v>-459826.35229782818</v>
      </c>
      <c r="I355" s="255">
        <f>'Resultater - Vestdanmark'!I355+'Resultater - Østdanmark'!I355</f>
        <v>-335814.96966032672</v>
      </c>
      <c r="J355" s="256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4">
        <f>'Resultater - Vestdanmark'!H356+'Resultater - Østdanmark'!H356</f>
        <v>156922.23534513626</v>
      </c>
      <c r="I356" s="255">
        <f>'Resultater - Vestdanmark'!I356+'Resultater - Østdanmark'!I356</f>
        <v>114601.60001296751</v>
      </c>
      <c r="J356" s="256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4">
        <f>'Resultater - Vestdanmark'!H357+'Resultater - Østdanmark'!H357</f>
        <v>90477.579370643434</v>
      </c>
      <c r="I357" s="255">
        <f>'Resultater - Vestdanmark'!I357+'Resultater - Østdanmark'!I357</f>
        <v>112506.5730079007</v>
      </c>
      <c r="J357" s="256">
        <f>'Resultater - Vestdanmark'!J357+'Resultater - Østdanmark'!J357</f>
        <v>145684.32365031517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4">
        <f>'Resultater - Vestdanmark'!H358+'Resultater - Østdanmark'!H358</f>
        <v>15030.986831286333</v>
      </c>
      <c r="I358" s="255">
        <f>'Resultater - Vestdanmark'!I358+'Resultater - Østdanmark'!I358</f>
        <v>25195.922872023264</v>
      </c>
      <c r="J358" s="256">
        <f>'Resultater - Vestdanmark'!J358+'Resultater - Østdanmark'!J358</f>
        <v>36704.365307267442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4">
        <f>'Resultater - Vestdanmark'!H359+'Resultater - Østdanmark'!H359</f>
        <v>-949805.38574983133</v>
      </c>
      <c r="I359" s="255">
        <f>'Resultater - Vestdanmark'!I359+'Resultater - Østdanmark'!I359</f>
        <v>-1103793.3501178413</v>
      </c>
      <c r="J359" s="256">
        <f>'Resultater - Vestdanmark'!J359+'Resultater - Østdanmark'!J359</f>
        <v>-1329868.3082343277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4">
        <f>'Resultater - Vestdanmark'!H360+'Resultater - Østdanmark'!H360</f>
        <v>25258.095389318682</v>
      </c>
      <c r="I360" s="255">
        <f>'Resultater - Vestdanmark'!I360+'Resultater - Østdanmark'!I360</f>
        <v>29353.084479892903</v>
      </c>
      <c r="J360" s="256">
        <f>'Resultater - Vestdanmark'!J360+'Resultater - Østdanmark'!J360</f>
        <v>35365.076981635204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4">
        <f>'Resultater - Vestdanmark'!H361+'Resultater - Østdanmark'!H361</f>
        <v>6393.7482407061234</v>
      </c>
      <c r="I361" s="255">
        <f>'Resultater - Vestdanmark'!I361+'Resultater - Østdanmark'!I361</f>
        <v>7693.8302575630205</v>
      </c>
      <c r="J361" s="256">
        <f>'Resultater - Vestdanmark'!J361+'Resultater - Østdanmark'!J361</f>
        <v>8897.0751899968709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4">
        <f>'Resultater - Vestdanmark'!H362+'Resultater - Østdanmark'!H362</f>
        <v>1062.1896195401109</v>
      </c>
      <c r="I362" s="255">
        <f>'Resultater - Vestdanmark'!I362+'Resultater - Østdanmark'!I362</f>
        <v>1723.0384730177811</v>
      </c>
      <c r="J362" s="256">
        <f>'Resultater - Vestdanmark'!J362+'Resultater - Østdanmark'!J362</f>
        <v>2241.5692351615935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4">
        <f>'Resultater - Vestdanmark'!H363+'Resultater - Østdanmark'!H363</f>
        <v>-50339.679921755182</v>
      </c>
      <c r="I363" s="255">
        <f>'Resultater - Vestdanmark'!I363+'Resultater - Østdanmark'!I363</f>
        <v>-56612.683473861085</v>
      </c>
      <c r="J363" s="256">
        <f>'Resultater - Vestdanmark'!J363+'Resultater - Østdanmark'!J363</f>
        <v>-60912.20747721722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4">
        <f>'Resultater - Vestdanmark'!H364+'Resultater - Østdanmark'!H364</f>
        <v>10461.556541465279</v>
      </c>
      <c r="I364" s="255">
        <f>'Resultater - Vestdanmark'!I364+'Resultater - Østdanmark'!I364</f>
        <v>11765.207685993264</v>
      </c>
      <c r="J364" s="256">
        <f>'Resultater - Vestdanmark'!J364+'Resultater - Østdanmark'!J364</f>
        <v>12658.73171181963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4">
        <f>'Resultater - Vestdanmark'!H365+'Resultater - Østdanmark'!H365</f>
        <v>5586.669113270872</v>
      </c>
      <c r="I365" s="255">
        <f>'Resultater - Vestdanmark'!I365+'Resultater - Østdanmark'!I365</f>
        <v>5328.6934897551328</v>
      </c>
      <c r="J365" s="256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4">
        <f>'Resultater - Vestdanmark'!H366+'Resultater - Østdanmark'!H366</f>
        <v>928.11004070224612</v>
      </c>
      <c r="I366" s="255">
        <f>'Resultater - Vestdanmark'!I366+'Resultater - Østdanmark'!I366</f>
        <v>1193.3644993976877</v>
      </c>
      <c r="J366" s="256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4">
        <f>'Resultater - Vestdanmark'!H367+'Resultater - Østdanmark'!H367</f>
        <v>-33512.633416062716</v>
      </c>
      <c r="I367" s="255">
        <f>'Resultater - Vestdanmark'!I367+'Resultater - Østdanmark'!I367</f>
        <v>-29873.944410823286</v>
      </c>
      <c r="J367" s="256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4">
        <f>'Resultater - Vestdanmark'!H368+'Resultater - Østdanmark'!H368</f>
        <v>20064.314636026029</v>
      </c>
      <c r="I368" s="255">
        <f>'Resultater - Vestdanmark'!I368+'Resultater - Østdanmark'!I368</f>
        <v>17885.798845954469</v>
      </c>
      <c r="J368" s="256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4">
        <f>'Resultater - Vestdanmark'!H369+'Resultater - Østdanmark'!H369</f>
        <v>804386.70310434792</v>
      </c>
      <c r="I369" s="255">
        <f>'Resultater - Vestdanmark'!I369+'Resultater - Østdanmark'!I369</f>
        <v>816216.23283494485</v>
      </c>
      <c r="J369" s="256">
        <f>'Resultater - Vestdanmark'!J369+'Resultater - Østdanmark'!J369</f>
        <v>767917.75190239109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4">
        <f>'Resultater - Vestdanmark'!H370+'Resultater - Østdanmark'!H370</f>
        <v>-1769650.7468295656</v>
      </c>
      <c r="I370" s="255">
        <f>'Resultater - Vestdanmark'!I370+'Resultater - Østdanmark'!I370</f>
        <v>-1678201.600221382</v>
      </c>
      <c r="J370" s="256">
        <f>'Resultater - Vestdanmark'!J370+'Resultater - Østdanmark'!J370</f>
        <v>-1469060.0471176177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4">
        <f>'Resultater - Vestdanmark'!H371+'Resultater - Østdanmark'!H371</f>
        <v>31623.568231448324</v>
      </c>
      <c r="I371" s="255">
        <f>'Resultater - Vestdanmark'!I371+'Resultater - Østdanmark'!I371</f>
        <v>29989.37666418415</v>
      </c>
      <c r="J371" s="256">
        <f>'Resultater - Vestdanmark'!J371+'Resultater - Østdanmark'!J371</f>
        <v>26252.027819245694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4">
        <f>'Resultater - Vestdanmark'!H372+'Resultater - Østdanmark'!H372</f>
        <v>27393.452669089784</v>
      </c>
      <c r="I372" s="255">
        <f>'Resultater - Vestdanmark'!I372+'Resultater - Østdanmark'!I372</f>
        <v>26995.365438628607</v>
      </c>
      <c r="J372" s="256">
        <f>'Resultater - Vestdanmark'!J372+'Resultater - Østdanmark'!J372</f>
        <v>22968.224901802128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4">
        <f>'Resultater - Vestdanmark'!H373+'Resultater - Østdanmark'!H373</f>
        <v>-45655.75444848297</v>
      </c>
      <c r="I373" s="255">
        <f>'Resultater - Vestdanmark'!I373+'Resultater - Østdanmark'!I373</f>
        <v>-42048.855823409045</v>
      </c>
      <c r="J373" s="256">
        <f>'Resultater - Vestdanmark'!J373+'Resultater - Østdanmark'!J373</f>
        <v>-33287.282466379897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4">
        <f>'Resultater - Vestdanmark'!H374+'Resultater - Østdanmark'!H374</f>
        <v>4867.6770004669015</v>
      </c>
      <c r="I374" s="255">
        <f>'Resultater - Vestdanmark'!I374+'Resultater - Østdanmark'!I374</f>
        <v>4483.1204929164842</v>
      </c>
      <c r="J374" s="256">
        <f>'Resultater - Vestdanmark'!J374+'Resultater - Østdanmark'!J374</f>
        <v>3548.9883198070011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4">
        <f>'Resultater - Vestdanmark'!H375+'Resultater - Østdanmark'!H375</f>
        <v>18360.165184548681</v>
      </c>
      <c r="I375" s="255">
        <f>'Resultater - Vestdanmark'!I375+'Resultater - Østdanmark'!I375</f>
        <v>14248.491952542727</v>
      </c>
      <c r="J375" s="256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4">
        <f>'Resultater - Vestdanmark'!H376+'Resultater - Østdanmark'!H376</f>
        <v>-23605.926665848303</v>
      </c>
      <c r="I376" s="255">
        <f>'Resultater - Vestdanmark'!I376+'Resultater - Østdanmark'!I376</f>
        <v>-17121.018367541325</v>
      </c>
      <c r="J376" s="256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4">
        <f>'Resultater - Vestdanmark'!H377+'Resultater - Østdanmark'!H377</f>
        <v>7475.6545232364842</v>
      </c>
      <c r="I377" s="255">
        <f>'Resultater - Vestdanmark'!I377+'Resultater - Østdanmark'!I377</f>
        <v>5421.9781419085311</v>
      </c>
      <c r="J377" s="256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4">
        <f>'Resultater - Vestdanmark'!H378+'Resultater - Østdanmark'!H378</f>
        <v>58624.558099339294</v>
      </c>
      <c r="I378" s="255">
        <f>'Resultater - Vestdanmark'!I378+'Resultater - Østdanmark'!I378</f>
        <v>72610.218631964162</v>
      </c>
      <c r="J378" s="256">
        <f>'Resultater - Vestdanmark'!J378+'Resultater - Østdanmark'!J378</f>
        <v>92848.237275470907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4">
        <f>'Resultater - Vestdanmark'!H379+'Resultater - Østdanmark'!H379</f>
        <v>-128974.02781854646</v>
      </c>
      <c r="I379" s="255">
        <f>'Resultater - Vestdanmark'!I379+'Resultater - Østdanmark'!I379</f>
        <v>-149292.03830871137</v>
      </c>
      <c r="J379" s="256">
        <f>'Resultater - Vestdanmark'!J379+'Resultater - Østdanmark'!J379</f>
        <v>-177622.7147878574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4">
        <f>'Resultater - Vestdanmark'!H380+'Resultater - Østdanmark'!H380</f>
        <v>4043.4373211296634</v>
      </c>
      <c r="I380" s="255">
        <f>'Resultater - Vestdanmark'!I380+'Resultater - Østdanmark'!I380</f>
        <v>4680.4229475894344</v>
      </c>
      <c r="J380" s="256">
        <f>'Resultater - Vestdanmark'!J380+'Resultater - Østdanmark'!J380</f>
        <v>5568.6119616581782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4">
        <f>'Resultater - Vestdanmark'!H381+'Resultater - Østdanmark'!H381</f>
        <v>1996.4639536467182</v>
      </c>
      <c r="I381" s="255">
        <f>'Resultater - Vestdanmark'!I381+'Resultater - Østdanmark'!I381</f>
        <v>2401.4952260144173</v>
      </c>
      <c r="J381" s="256">
        <f>'Resultater - Vestdanmark'!J381+'Resultater - Østdanmark'!J381</f>
        <v>2777.0671926724385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4">
        <f>'Resultater - Vestdanmark'!H382+'Resultater - Østdanmark'!H382</f>
        <v>-3327.4399227445301</v>
      </c>
      <c r="I382" s="255">
        <f>'Resultater - Vestdanmark'!I382+'Resultater - Østdanmark'!I382</f>
        <v>-3740.6467694928619</v>
      </c>
      <c r="J382" s="256">
        <f>'Resultater - Vestdanmark'!J382+'Resultater - Østdanmark'!J382</f>
        <v>-4024.7350618441142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4">
        <f>'Resultater - Vestdanmark'!H383+'Resultater - Østdanmark'!H383</f>
        <v>622.38855232406365</v>
      </c>
      <c r="I383" s="255">
        <f>'Resultater - Vestdanmark'!I383+'Resultater - Østdanmark'!I383</f>
        <v>699.67776479043414</v>
      </c>
      <c r="J383" s="256">
        <f>'Resultater - Vestdanmark'!J383+'Resultater - Østdanmark'!J383</f>
        <v>752.815704201485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4">
        <f>'Resultater - Vestdanmark'!H384+'Resultater - Østdanmark'!H384</f>
        <v>1338.1083581082171</v>
      </c>
      <c r="I384" s="255">
        <f>'Resultater - Vestdanmark'!I384+'Resultater - Østdanmark'!I384</f>
        <v>1267.5392552001879</v>
      </c>
      <c r="J384" s="256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4">
        <f>'Resultater - Vestdanmark'!H385+'Resultater - Østdanmark'!H385</f>
        <v>-1720.4250318534218</v>
      </c>
      <c r="I385" s="255">
        <f>'Resultater - Vestdanmark'!I385+'Resultater - Østdanmark'!I385</f>
        <v>-1523.0778767425488</v>
      </c>
      <c r="J385" s="256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4">
        <f>'Resultater - Vestdanmark'!H386+'Resultater - Østdanmark'!H386</f>
        <v>955.84850760346353</v>
      </c>
      <c r="I386" s="255">
        <f>'Resultater - Vestdanmark'!I386+'Resultater - Østdanmark'!I386</f>
        <v>846.2046811071117</v>
      </c>
      <c r="J386" s="256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4">
        <f>'Resultater - Vestdanmark'!H387+'Resultater - Østdanmark'!H387</f>
        <v>151198.05286083202</v>
      </c>
      <c r="I387" s="255">
        <f>'Resultater - Vestdanmark'!I387+'Resultater - Østdanmark'!I387</f>
        <v>153509.84175597323</v>
      </c>
      <c r="J387" s="256">
        <f>'Resultater - Vestdanmark'!J387+'Resultater - Østdanmark'!J387</f>
        <v>144691.94108006015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4">
        <f>'Resultater - Vestdanmark'!H388+'Resultater - Østdanmark'!H388</f>
        <v>-743894.42007529351</v>
      </c>
      <c r="I388" s="255">
        <f>'Resultater - Vestdanmark'!I388+'Resultater - Østdanmark'!I388</f>
        <v>-705858.33779382065</v>
      </c>
      <c r="J388" s="256">
        <f>'Resultater - Vestdanmark'!J388+'Resultater - Østdanmark'!J388</f>
        <v>-619029.86966425751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4">
        <f>'Resultater - Vestdanmark'!H389+'Resultater - Østdanmark'!H389</f>
        <v>12185.575596215564</v>
      </c>
      <c r="I389" s="255">
        <f>'Resultater - Vestdanmark'!I389+'Resultater - Østdanmark'!I389</f>
        <v>11562.514657033025</v>
      </c>
      <c r="J389" s="256">
        <f>'Resultater - Vestdanmark'!J389+'Resultater - Østdanmark'!J389</f>
        <v>10140.196067535748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4">
        <f>'Resultater - Vestdanmark'!H390+'Resultater - Østdanmark'!H390</f>
        <v>22604.883417166257</v>
      </c>
      <c r="I390" s="255">
        <f>'Resultater - Vestdanmark'!I390+'Resultater - Østdanmark'!I390</f>
        <v>22277.500935241005</v>
      </c>
      <c r="J390" s="256">
        <f>'Resultater - Vestdanmark'!J390+'Resultater - Østdanmark'!J390</f>
        <v>18954.166517729358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4">
        <f>'Resultater - Vestdanmark'!H391+'Resultater - Østdanmark'!H391</f>
        <v>-92680.022010381668</v>
      </c>
      <c r="I391" s="255">
        <f>'Resultater - Vestdanmark'!I391+'Resultater - Østdanmark'!I391</f>
        <v>-85362.386761203859</v>
      </c>
      <c r="J391" s="256">
        <f>'Resultater - Vestdanmark'!J391+'Resultater - Østdanmark'!J391</f>
        <v>-67575.724106687281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4">
        <f>'Resultater - Vestdanmark'!H392+'Resultater - Østdanmark'!H392</f>
        <v>8234.3839053876236</v>
      </c>
      <c r="I392" s="255">
        <f>'Resultater - Vestdanmark'!I392+'Resultater - Østdanmark'!I392</f>
        <v>7584.2306510586886</v>
      </c>
      <c r="J392" s="256">
        <f>'Resultater - Vestdanmark'!J392+'Resultater - Østdanmark'!J392</f>
        <v>6003.9309757251613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4">
        <f>'Resultater - Vestdanmark'!H393+'Resultater - Østdanmark'!H393</f>
        <v>21807.878272481728</v>
      </c>
      <c r="I393" s="255">
        <f>'Resultater - Vestdanmark'!I393+'Resultater - Østdanmark'!I393</f>
        <v>16939.546471625777</v>
      </c>
      <c r="J393" s="256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4">
        <f>'Resultater - Vestdanmark'!H394+'Resultater - Østdanmark'!H394</f>
        <v>-76639.115071864377</v>
      </c>
      <c r="I394" s="255">
        <f>'Resultater - Vestdanmark'!I394+'Resultater - Østdanmark'!I394</f>
        <v>-55635.89361842379</v>
      </c>
      <c r="J394" s="256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4">
        <f>'Resultater - Vestdanmark'!H395+'Resultater - Østdanmark'!H395</f>
        <v>18202.871953106896</v>
      </c>
      <c r="I395" s="255">
        <f>'Resultater - Vestdanmark'!I395+'Resultater - Østdanmark'!I395</f>
        <v>13214.310298118749</v>
      </c>
      <c r="J395" s="256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4">
        <f>'Resultater - Vestdanmark'!H396+'Resultater - Østdanmark'!H396</f>
        <v>11019.474837461308</v>
      </c>
      <c r="I396" s="255">
        <f>'Resultater - Vestdanmark'!I396+'Resultater - Østdanmark'!I396</f>
        <v>13656.164535401314</v>
      </c>
      <c r="J396" s="256">
        <f>'Resultater - Vestdanmark'!J396+'Resultater - Østdanmark'!J396</f>
        <v>17494.571057861816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4">
        <f>'Resultater - Vestdanmark'!H397+'Resultater - Østdanmark'!H397</f>
        <v>-54215.816200309637</v>
      </c>
      <c r="I397" s="255">
        <f>'Resultater - Vestdanmark'!I397+'Resultater - Østdanmark'!I397</f>
        <v>-62792.831321658377</v>
      </c>
      <c r="J397" s="256">
        <f>'Resultater - Vestdanmark'!J397+'Resultater - Østdanmark'!J397</f>
        <v>-74846.338786678389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4">
        <f>'Resultater - Vestdanmark'!H398+'Resultater - Østdanmark'!H398</f>
        <v>1558.0661481516906</v>
      </c>
      <c r="I398" s="255">
        <f>'Resultater - Vestdanmark'!I398+'Resultater - Østdanmark'!I398</f>
        <v>1804.554310635212</v>
      </c>
      <c r="J398" s="256">
        <f>'Resultater - Vestdanmark'!J398+'Resultater - Østdanmark'!J398</f>
        <v>2150.9506809924314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4">
        <f>'Resultater - Vestdanmark'!H399+'Resultater - Østdanmark'!H399</f>
        <v>1647.4679356385941</v>
      </c>
      <c r="I399" s="255">
        <f>'Resultater - Vestdanmark'!I399+'Resultater - Østdanmark'!I399</f>
        <v>1981.7961814645032</v>
      </c>
      <c r="J399" s="256">
        <f>'Resultater - Vestdanmark'!J399+'Resultater - Østdanmark'!J399</f>
        <v>2291.7310425981855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4">
        <f>'Resultater - Vestdanmark'!H400+'Resultater - Østdanmark'!H400</f>
        <v>-6754.6185361182361</v>
      </c>
      <c r="I400" s="255">
        <f>'Resultater - Vestdanmark'!I400+'Resultater - Østdanmark'!I400</f>
        <v>-7593.7984523406194</v>
      </c>
      <c r="J400" s="256">
        <f>'Resultater - Vestdanmark'!J400+'Resultater - Østdanmark'!J400</f>
        <v>-8170.5193692630974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4">
        <f>'Resultater - Vestdanmark'!H401+'Resultater - Østdanmark'!H401</f>
        <v>1052.8607953369108</v>
      </c>
      <c r="I401" s="255">
        <f>'Resultater - Vestdanmark'!I401+'Resultater - Østdanmark'!I401</f>
        <v>1183.666055367541</v>
      </c>
      <c r="J401" s="256">
        <f>'Resultater - Vestdanmark'!J401+'Resultater - Østdanmark'!J401</f>
        <v>1273.5611160629128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4">
        <f>'Resultater - Vestdanmark'!H402+'Resultater - Østdanmark'!H402</f>
        <v>1589.3813533645339</v>
      </c>
      <c r="I402" s="255">
        <f>'Resultater - Vestdanmark'!I402+'Resultater - Østdanmark'!I402</f>
        <v>1506.9342207995419</v>
      </c>
      <c r="J402" s="256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4">
        <f>'Resultater - Vestdanmark'!H403+'Resultater - Østdanmark'!H403</f>
        <v>-5585.5401846810773</v>
      </c>
      <c r="I403" s="255">
        <f>'Resultater - Vestdanmark'!I403+'Resultater - Østdanmark'!I403</f>
        <v>-4949.3433687141169</v>
      </c>
      <c r="J403" s="256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4">
        <f>'Resultater - Vestdanmark'!H404+'Resultater - Østdanmark'!H404</f>
        <v>2327.4467722381351</v>
      </c>
      <c r="I404" s="255">
        <f>'Resultater - Vestdanmark'!I404+'Resultater - Østdanmark'!I404</f>
        <v>2062.3490060647764</v>
      </c>
      <c r="J404" s="256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4">
        <f>'Resultater - Vestdanmark'!H405+'Resultater - Østdanmark'!H405</f>
        <v>2074307.374215838</v>
      </c>
      <c r="I405" s="255">
        <f>'Resultater - Vestdanmark'!I405+'Resultater - Østdanmark'!I405</f>
        <v>2106192.3440028005</v>
      </c>
      <c r="J405" s="256">
        <f>'Resultater - Vestdanmark'!J405+'Resultater - Østdanmark'!J405</f>
        <v>1985718.1474465327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4">
        <f>'Resultater - Vestdanmark'!H406+'Resultater - Østdanmark'!H406</f>
        <v>-7521056.4692379907</v>
      </c>
      <c r="I406" s="255">
        <f>'Resultater - Vestdanmark'!I406+'Resultater - Østdanmark'!I406</f>
        <v>-7137070.5577074001</v>
      </c>
      <c r="J406" s="256">
        <f>'Resultater - Vestdanmark'!J406+'Resultater - Østdanmark'!J406</f>
        <v>-6260737.6090000086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4">
        <f>'Resultater - Vestdanmark'!H407+'Resultater - Østdanmark'!H407</f>
        <v>295681.96678242408</v>
      </c>
      <c r="I407" s="255">
        <f>'Resultater - Vestdanmark'!I407+'Resultater - Østdanmark'!I407</f>
        <v>280585.98791263503</v>
      </c>
      <c r="J407" s="256">
        <f>'Resultater - Vestdanmark'!J407+'Resultater - Østdanmark'!J407</f>
        <v>246133.93308631412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4">
        <f>'Resultater - Vestdanmark'!H408+'Resultater - Østdanmark'!H408</f>
        <v>362795.13500095531</v>
      </c>
      <c r="I408" s="255">
        <f>'Resultater - Vestdanmark'!I408+'Resultater - Østdanmark'!I408</f>
        <v>357176.08087392699</v>
      </c>
      <c r="J408" s="256">
        <f>'Resultater - Vestdanmark'!J408+'Resultater - Østdanmark'!J408</f>
        <v>303892.92464689736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4">
        <f>'Resultater - Vestdanmark'!H409+'Resultater - Østdanmark'!H409</f>
        <v>-1096190.2797950064</v>
      </c>
      <c r="I409" s="255">
        <f>'Resultater - Vestdanmark'!I409+'Resultater - Østdanmark'!I409</f>
        <v>-1008609.5642298218</v>
      </c>
      <c r="J409" s="256">
        <f>'Resultater - Vestdanmark'!J409+'Resultater - Østdanmark'!J409</f>
        <v>-798449.10890820215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4">
        <f>'Resultater - Vestdanmark'!H410+'Resultater - Østdanmark'!H410</f>
        <v>233744.91463565463</v>
      </c>
      <c r="I410" s="255">
        <f>'Resultater - Vestdanmark'!I410+'Resultater - Østdanmark'!I410</f>
        <v>215069.73819882114</v>
      </c>
      <c r="J410" s="256">
        <f>'Resultater - Vestdanmark'!J410+'Resultater - Østdanmark'!J410</f>
        <v>170256.40734340728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4">
        <f>'Resultater - Vestdanmark'!H411+'Resultater - Østdanmark'!H411</f>
        <v>458081.74348965334</v>
      </c>
      <c r="I411" s="255">
        <f>'Resultater - Vestdanmark'!I411+'Resultater - Østdanmark'!I411</f>
        <v>351282.54916678835</v>
      </c>
      <c r="J411" s="256">
        <f>'Resultater - Vestdanmark'!J411+'Resultater - Østdanmark'!J411</f>
        <v>0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4">
        <f>'Resultater - Vestdanmark'!H412+'Resultater - Østdanmark'!H412</f>
        <v>-1186371.4479686453</v>
      </c>
      <c r="I412" s="255">
        <f>'Resultater - Vestdanmark'!I412+'Resultater - Østdanmark'!I412</f>
        <v>-850257.55676843552</v>
      </c>
      <c r="J412" s="256">
        <f>'Resultater - Vestdanmark'!J412+'Resultater - Østdanmark'!J412</f>
        <v>0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4">
        <f>'Resultater - Vestdanmark'!H413+'Resultater - Østdanmark'!H413</f>
        <v>676271.92832627031</v>
      </c>
      <c r="I413" s="255">
        <f>'Resultater - Vestdanmark'!I413+'Resultater - Østdanmark'!I413</f>
        <v>484675.62033317744</v>
      </c>
      <c r="J413" s="256">
        <f>'Resultater - Vestdanmark'!J413+'Resultater - Østdanmark'!J413</f>
        <v>0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4">
        <f>'Resultater - Vestdanmark'!H414+'Resultater - Østdanmark'!H414</f>
        <v>265224.08195726445</v>
      </c>
      <c r="I414" s="255">
        <f>'Resultater - Vestdanmark'!I414+'Resultater - Østdanmark'!I414</f>
        <v>328712.09993107291</v>
      </c>
      <c r="J414" s="256">
        <f>'Resultater - Vestdanmark'!J414+'Resultater - Østdanmark'!J414</f>
        <v>421212.94036744634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4">
        <f>'Resultater - Vestdanmark'!H415+'Resultater - Østdanmark'!H415</f>
        <v>-961653.66917064704</v>
      </c>
      <c r="I415" s="255">
        <f>'Resultater - Vestdanmark'!I415+'Resultater - Østdanmark'!I415</f>
        <v>-1113878.0639196523</v>
      </c>
      <c r="J415" s="256">
        <f>'Resultater - Vestdanmark'!J415+'Resultater - Østdanmark'!J415</f>
        <v>-1328035.2503939411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4">
        <f>'Resultater - Vestdanmark'!H416+'Resultater - Østdanmark'!H416</f>
        <v>37806.344019209348</v>
      </c>
      <c r="I416" s="255">
        <f>'Resultater - Vestdanmark'!I416+'Resultater - Østdanmark'!I416</f>
        <v>43790.8767262494</v>
      </c>
      <c r="J416" s="256">
        <f>'Resultater - Vestdanmark'!J416+'Resultater - Østdanmark'!J416</f>
        <v>52210.228230430264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4">
        <f>'Resultater - Vestdanmark'!H417+'Resultater - Østdanmark'!H417</f>
        <v>46387.535336013323</v>
      </c>
      <c r="I417" s="255">
        <f>'Resultater - Vestdanmark'!I417+'Resultater - Østdanmark'!I417</f>
        <v>55744.243835815207</v>
      </c>
      <c r="J417" s="256">
        <f>'Resultater - Vestdanmark'!J417+'Resultater - Østdanmark'!J417</f>
        <v>64462.135531160042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4">
        <f>'Resultater - Vestdanmark'!H418+'Resultater - Østdanmark'!H418</f>
        <v>-140160.5491177584</v>
      </c>
      <c r="I418" s="255">
        <f>'Resultater - Vestdanmark'!I418+'Resultater - Østdanmark'!I418</f>
        <v>-157413.05337690862</v>
      </c>
      <c r="J418" s="256">
        <f>'Resultater - Vestdanmark'!J418+'Resultater - Østdanmark'!J418</f>
        <v>-169367.99279870954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4">
        <f>'Resultater - Vestdanmark'!H419+'Resultater - Østdanmark'!H419</f>
        <v>29886.978741449482</v>
      </c>
      <c r="I419" s="255">
        <f>'Resultater - Vestdanmark'!I419+'Resultater - Østdanmark'!I419</f>
        <v>33565.7972911455</v>
      </c>
      <c r="J419" s="256">
        <f>'Resultater - Vestdanmark'!J419+'Resultater - Østdanmark'!J419</f>
        <v>36114.995497086391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4">
        <f>'Resultater - Vestdanmark'!H420+'Resultater - Østdanmark'!H420</f>
        <v>58571.025388344671</v>
      </c>
      <c r="I420" s="255">
        <f>'Resultater - Vestdanmark'!I420+'Resultater - Østdanmark'!I420</f>
        <v>54824.444089614371</v>
      </c>
      <c r="J420" s="256">
        <f>'Resultater - Vestdanmark'!J420+'Resultater - Østdanmark'!J420</f>
        <v>0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4">
        <f>'Resultater - Vestdanmark'!H421+'Resultater - Østdanmark'!H421</f>
        <v>-151691.24984032079</v>
      </c>
      <c r="I421" s="255">
        <f>'Resultater - Vestdanmark'!I421+'Resultater - Østdanmark'!I421</f>
        <v>-132699.15625865757</v>
      </c>
      <c r="J421" s="256">
        <f>'Resultater - Vestdanmark'!J421+'Resultater - Østdanmark'!J421</f>
        <v>0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4">
        <f>'Resultater - Vestdanmark'!H422+'Resultater - Østdanmark'!H422</f>
        <v>86469.152823414028</v>
      </c>
      <c r="I422" s="255">
        <f>'Resultater - Vestdanmark'!I422+'Resultater - Østdanmark'!I422</f>
        <v>75643.015890149094</v>
      </c>
      <c r="J422" s="256">
        <f>'Resultater - Vestdanmark'!J422+'Resultater - Østdanmark'!J422</f>
        <v>0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4">
        <f ca="1">'Resultater - Vestdanmark'!H423+'Resultater - Østdanmark'!H423</f>
        <v>827707.93518034508</v>
      </c>
      <c r="I423" s="255">
        <f ca="1">'Resultater - Vestdanmark'!I423+'Resultater - Østdanmark'!I423</f>
        <v>788679.64758670493</v>
      </c>
      <c r="J423" s="256">
        <f ca="1">'Resultater - Vestdanmark'!J423+'Resultater - Østdanmark'!J423</f>
        <v>840705.04818703001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4">
        <f ca="1">'Resultater - Vestdanmark'!H424+'Resultater - Østdanmark'!H424</f>
        <v>896683.59644537373</v>
      </c>
      <c r="I424" s="255">
        <f ca="1">'Resultater - Vestdanmark'!I424+'Resultater - Østdanmark'!I424</f>
        <v>854402.95155226393</v>
      </c>
      <c r="J424" s="256">
        <f ca="1">'Resultater - Vestdanmark'!J424+'Resultater - Østdanmark'!J424</f>
        <v>910763.802202616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4">
        <f ca="1">'Resultater - Vestdanmark'!H425+'Resultater - Østdanmark'!H425</f>
        <v>-606450.26032409817</v>
      </c>
      <c r="I425" s="255">
        <f ca="1">'Resultater - Vestdanmark'!I425+'Resultater - Østdanmark'!I425</f>
        <v>-608453.5670373945</v>
      </c>
      <c r="J425" s="256">
        <f ca="1">'Resultater - Vestdanmark'!J425+'Resultater - Østdanmark'!J425</f>
        <v>-1366687.5910038012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4">
        <f>'Resultater - Vestdanmark'!H426+'Resultater - Østdanmark'!H426</f>
        <v>3383628.2</v>
      </c>
      <c r="I426" s="255">
        <f>'Resultater - Vestdanmark'!I426+'Resultater - Østdanmark'!I426</f>
        <v>3349973.4189923876</v>
      </c>
      <c r="J426" s="256">
        <f>'Resultater - Vestdanmark'!J426+'Resultater - Østdanmark'!J426</f>
        <v>3287746.765328066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4">
        <f>'Resultater - Vestdanmark'!H427+'Resultater - Østdanmark'!H427</f>
        <v>131725</v>
      </c>
      <c r="I427" s="255">
        <f>'Resultater - Vestdanmark'!I427+'Resultater - Østdanmark'!I427</f>
        <v>130414.81585263187</v>
      </c>
      <c r="J427" s="256">
        <f>'Resultater - Vestdanmark'!J427+'Resultater - Østdanmark'!J427</f>
        <v>127992.32571203879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4">
        <f>'Resultater - Vestdanmark'!H428+'Resultater - Østdanmark'!H428</f>
        <v>17308.665000000001</v>
      </c>
      <c r="I428" s="255">
        <f>'Resultater - Vestdanmark'!I428+'Resultater - Østdanmark'!I428</f>
        <v>17136.506803035827</v>
      </c>
      <c r="J428" s="256">
        <f>'Resultater - Vestdanmark'!J428+'Resultater - Østdanmark'!J428</f>
        <v>16818.191598561898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4">
        <f>'Resultater - Vestdanmark'!H429+'Resultater - Østdanmark'!H429</f>
        <v>1753646.8000000003</v>
      </c>
      <c r="I429" s="255">
        <f>'Resultater - Vestdanmark'!I429+'Resultater - Østdanmark'!I429</f>
        <v>1736204.3992602557</v>
      </c>
      <c r="J429" s="256">
        <f>'Resultater - Vestdanmark'!J429+'Resultater - Østdanmark'!J429</f>
        <v>1703953.9374414468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4">
        <f>'Resultater - Vestdanmark'!H430+'Resultater - Østdanmark'!H430</f>
        <v>1601127.6966659406</v>
      </c>
      <c r="I430" s="255">
        <f>'Resultater - Vestdanmark'!I430+'Resultater - Østdanmark'!I430</f>
        <v>1521700.8329200619</v>
      </c>
      <c r="J430" s="256">
        <f>'Resultater - Vestdanmark'!J430+'Resultater - Østdanmark'!J430</f>
        <v>1380901.3834271473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4">
        <f>'Resultater - Vestdanmark'!H431+'Resultater - Østdanmark'!H431</f>
        <v>22728.326432774025</v>
      </c>
      <c r="I431" s="255">
        <f>'Resultater - Vestdanmark'!I431+'Resultater - Østdanmark'!I431</f>
        <v>29153.398617706007</v>
      </c>
      <c r="J431" s="256">
        <f>'Resultater - Vestdanmark'!J431+'Resultater - Østdanmark'!J431</f>
        <v>26455.902245607922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4">
        <f>'Resultater - Vestdanmark'!H432+'Resultater - Østdanmark'!H432</f>
        <v>142794.72651993899</v>
      </c>
      <c r="I432" s="255">
        <f>'Resultater - Vestdanmark'!I432+'Resultater - Østdanmark'!I432</f>
        <v>135711.1333058897</v>
      </c>
      <c r="J432" s="256">
        <f>'Resultater - Vestdanmark'!J432+'Resultater - Østdanmark'!J432</f>
        <v>123154.09683318077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4">
        <f>'Resultater - Vestdanmark'!H433+'Resultater - Østdanmark'!H433</f>
        <v>140895.61996077577</v>
      </c>
      <c r="I433" s="255">
        <f>'Resultater - Vestdanmark'!I433+'Resultater - Østdanmark'!I433</f>
        <v>133906.23539618502</v>
      </c>
      <c r="J433" s="256">
        <f>'Resultater - Vestdanmark'!J433+'Resultater - Østdanmark'!J433</f>
        <v>121516.20194179582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4">
        <f>'Resultater - Vestdanmark'!H434+'Resultater - Østdanmark'!H434</f>
        <v>115671.91919191919</v>
      </c>
      <c r="I434" s="255">
        <f>'Resultater - Vestdanmark'!I434+'Resultater - Østdanmark'!I434</f>
        <v>113713.9338619913</v>
      </c>
      <c r="J434" s="256">
        <f>'Resultater - Vestdanmark'!J434+'Resultater - Østdanmark'!J434</f>
        <v>110093.6792842632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4">
        <f>'Resultater - Vestdanmark'!H435+'Resultater - Østdanmark'!H435</f>
        <v>50006.545454545456</v>
      </c>
      <c r="I435" s="255">
        <f>'Resultater - Vestdanmark'!I435+'Resultater - Østdanmark'!I435</f>
        <v>55152.179429823183</v>
      </c>
      <c r="J435" s="256">
        <f>'Resultater - Vestdanmark'!J435+'Resultater - Østdanmark'!J435</f>
        <v>53396.326622067689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4">
        <f>'Resultater - Vestdanmark'!H436+'Resultater - Østdanmark'!H436</f>
        <v>7405.2525252525256</v>
      </c>
      <c r="I436" s="255">
        <f>'Resultater - Vestdanmark'!I436+'Resultater - Østdanmark'!I436</f>
        <v>7279.9033833851809</v>
      </c>
      <c r="J436" s="256">
        <f>'Resultater - Vestdanmark'!J436+'Resultater - Østdanmark'!J436</f>
        <v>7048.136680272929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4">
        <f>'Resultater - Vestdanmark'!H437+'Resultater - Østdanmark'!H437</f>
        <v>76114.747474747448</v>
      </c>
      <c r="I437" s="255">
        <f>'Resultater - Vestdanmark'!I437+'Resultater - Østdanmark'!I437</f>
        <v>74826.348700110961</v>
      </c>
      <c r="J437" s="256">
        <f>'Resultater - Vestdanmark'!J437+'Resultater - Østdanmark'!J437</f>
        <v>72444.139042805269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4">
        <f>'Resultater - Vestdanmark'!H438+'Resultater - Østdanmark'!H438</f>
        <v>201545.30567673693</v>
      </c>
      <c r="I438" s="255">
        <f>'Resultater - Vestdanmark'!I438+'Resultater - Østdanmark'!I438</f>
        <v>196872.93522310784</v>
      </c>
      <c r="J438" s="256">
        <f>'Resultater - Vestdanmark'!J438+'Resultater - Østdanmark'!J438</f>
        <v>188233.86614274088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7">
        <f>'Resultater - Vestdanmark'!H439+'Resultater - Østdanmark'!H439</f>
        <v>550.81037157810442</v>
      </c>
      <c r="I439" s="258">
        <f>'Resultater - Vestdanmark'!I439+'Resultater - Østdanmark'!I439</f>
        <v>726.16257554479</v>
      </c>
      <c r="J439" s="259">
        <f>'Resultater - Vestdanmark'!J439+'Resultater - Østdanmark'!J439</f>
        <v>694.29751168215546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51">
        <f>'Resultater - Vestdanmark'!H440+'Resultater - Østdanmark'!H440</f>
        <v>5940049093.1121235</v>
      </c>
      <c r="I440" s="252">
        <f>'Resultater - Vestdanmark'!I440+'Resultater - Østdanmark'!I440</f>
        <v>5790733053.5622406</v>
      </c>
      <c r="J440" s="253">
        <f>'Resultater - Vestdanmark'!J440+'Resultater - Østdanmark'!J440</f>
        <v>5519249345.2897253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4">
        <f>'Resultater - Vestdanmark'!H441+'Resultater - Østdanmark'!H441</f>
        <v>164945487.85478973</v>
      </c>
      <c r="I441" s="255">
        <f>'Resultater - Vestdanmark'!I441+'Resultater - Østdanmark'!I441</f>
        <v>160799224.65022138</v>
      </c>
      <c r="J441" s="256">
        <f>'Resultater - Vestdanmark'!J441+'Resultater - Østdanmark'!J441</f>
        <v>153260564.27827886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4">
        <f>'Resultater - Vestdanmark'!H442+'Resultater - Østdanmark'!H442</f>
        <v>0</v>
      </c>
      <c r="I442" s="255">
        <f>'Resultater - Vestdanmark'!I442+'Resultater - Østdanmark'!I442</f>
        <v>0</v>
      </c>
      <c r="J442" s="256">
        <f>'Resultater - Vestdanmark'!J442+'Resultater - Østdanmark'!J442</f>
        <v>0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4">
        <f>'Resultater - Vestdanmark'!H443+'Resultater - Østdanmark'!H443</f>
        <v>78449683.248009756</v>
      </c>
      <c r="I443" s="255">
        <f>'Resultater - Vestdanmark'!I443+'Resultater - Østdanmark'!I443</f>
        <v>76477680.016568691</v>
      </c>
      <c r="J443" s="256">
        <f>'Resultater - Vestdanmark'!J443+'Resultater - Østdanmark'!J443</f>
        <v>72892219.595766783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4">
        <f>'Resultater - Vestdanmark'!H444+'Resultater - Østdanmark'!H444</f>
        <v>143824419.28801787</v>
      </c>
      <c r="I444" s="255">
        <f>'Resultater - Vestdanmark'!I444+'Resultater - Østdanmark'!I444</f>
        <v>140209080.03037596</v>
      </c>
      <c r="J444" s="256">
        <f>'Resultater - Vestdanmark'!J444+'Resultater - Østdanmark'!J444</f>
        <v>133635735.92557243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4">
        <f>'Resultater - Vestdanmark'!H445+'Resultater - Østdanmark'!H445</f>
        <v>1682645129.1528244</v>
      </c>
      <c r="I445" s="255">
        <f>'Resultater - Vestdanmark'!I445+'Resultater - Østdanmark'!I445</f>
        <v>1640348188.0476851</v>
      </c>
      <c r="J445" s="256">
        <f>'Resultater - Vestdanmark'!J445+'Resultater - Østdanmark'!J445</f>
        <v>1563444658.7656128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4">
        <f>'Resultater - Vestdanmark'!H446+'Resultater - Østdanmark'!H446</f>
        <v>242389405.93295321</v>
      </c>
      <c r="I446" s="255">
        <f>'Resultater - Vestdanmark'!I446+'Resultater - Østdanmark'!I446</f>
        <v>236296421.58965459</v>
      </c>
      <c r="J446" s="256">
        <f>'Resultater - Vestdanmark'!J446+'Resultater - Østdanmark'!J446</f>
        <v>225218268.23820248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4">
        <f>'Resultater - Vestdanmark'!H447+'Resultater - Østdanmark'!H447</f>
        <v>0</v>
      </c>
      <c r="I447" s="255">
        <f>'Resultater - Vestdanmark'!I447+'Resultater - Østdanmark'!I447</f>
        <v>0</v>
      </c>
      <c r="J447" s="256">
        <f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4">
        <f>'Resultater - Vestdanmark'!H448+'Resultater - Østdanmark'!H448</f>
        <v>0</v>
      </c>
      <c r="I448" s="255">
        <f>'Resultater - Vestdanmark'!I448+'Resultater - Østdanmark'!I448</f>
        <v>0</v>
      </c>
      <c r="J448" s="256">
        <f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4">
        <f>'Resultater - Vestdanmark'!H449+'Resultater - Østdanmark'!H449</f>
        <v>2285098465.8907456</v>
      </c>
      <c r="I449" s="255">
        <f>'Resultater - Vestdanmark'!I449+'Resultater - Østdanmark'!I449</f>
        <v>2227657551.2518468</v>
      </c>
      <c r="J449" s="256">
        <f>'Resultater - Vestdanmark'!J449+'Resultater - Østdanmark'!J449</f>
        <v>2123219524.6356678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4">
        <f>'Resultater - Vestdanmark'!H450+'Resultater - Østdanmark'!H450</f>
        <v>163939722.68494347</v>
      </c>
      <c r="I450" s="255">
        <f>'Resultater - Vestdanmark'!I450+'Resultater - Østdanmark'!I450</f>
        <v>159818741.5730859</v>
      </c>
      <c r="J450" s="256">
        <f>'Resultater - Vestdanmark'!J450+'Resultater - Østdanmark'!J450</f>
        <v>152326048.6424357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4">
        <f>'Resultater - Vestdanmark'!H451+'Resultater - Østdanmark'!H451</f>
        <v>0</v>
      </c>
      <c r="I451" s="255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6">
        <f>'Resultater - Vestdanmark'!J451+'Resultater - Østdanmark'!J451</f>
        <v>0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4">
        <f>'Resultater - Vestdanmark'!H452+'Resultater - Østdanmark'!H452</f>
        <v>0</v>
      </c>
      <c r="I452" s="255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6">
        <f>'Resultater - Vestdanmark'!J452+'Resultater - Østdanmark'!J452</f>
        <v>0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4">
        <f>'Resultater - Vestdanmark'!H453+'Resultater - Østdanmark'!H453</f>
        <v>121697585.55139975</v>
      </c>
      <c r="I453" s="255">
        <f>'Resultater - Vestdanmark'!I453+'Resultater - Østdanmark'!I453</f>
        <v>118638452.33339506</v>
      </c>
      <c r="J453" s="256">
        <f>'Resultater - Vestdanmark'!J453+'Resultater - Østdanmark'!J453</f>
        <v>113076391.93702284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4">
        <f>'Resultater - Vestdanmark'!H454+'Resultater - Østdanmark'!H454</f>
        <v>4029095270.4041944</v>
      </c>
      <c r="I454" s="255">
        <f>'Resultater - Vestdanmark'!I454+'Resultater - Østdanmark'!I454</f>
        <v>3927815207.0047979</v>
      </c>
      <c r="J454" s="256">
        <f>'Resultater - Vestdanmark'!J454+'Resultater - Østdanmark'!J454</f>
        <v>3743669637.1877141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4">
        <f>'Resultater - Vestdanmark'!H455+'Resultater - Østdanmark'!H455</f>
        <v>12195000.399999995</v>
      </c>
      <c r="I455" s="255">
        <f>'Resultater - Vestdanmark'!I455+'Resultater - Østdanmark'!I455</f>
        <v>0</v>
      </c>
      <c r="J455" s="256">
        <f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4">
        <f>'Resultater - Vestdanmark'!H456+'Resultater - Østdanmark'!H456</f>
        <v>361184.4</v>
      </c>
      <c r="I456" s="255">
        <f>'Resultater - Vestdanmark'!I456+'Resultater - Østdanmark'!I456</f>
        <v>0</v>
      </c>
      <c r="J456" s="256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4">
        <f>'Resultater - Vestdanmark'!H457+'Resultater - Østdanmark'!H457</f>
        <v>4390946.2499999981</v>
      </c>
      <c r="I457" s="255">
        <f>'Resultater - Vestdanmark'!I457+'Resultater - Østdanmark'!I457</f>
        <v>0</v>
      </c>
      <c r="J457" s="256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4">
        <f>'Resultater - Vestdanmark'!H458+'Resultater - Østdanmark'!H458</f>
        <v>34978432</v>
      </c>
      <c r="I458" s="255">
        <f>'Resultater - Vestdanmark'!I458+'Resultater - Østdanmark'!I458</f>
        <v>149820409.48538473</v>
      </c>
      <c r="J458" s="256">
        <f>'Resultater - Vestdanmark'!J458+'Resultater - Østdanmark'!J458</f>
        <v>160608315.11358762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60">
        <f>'Resultater - Vestdanmark'!H459+'Resultater - Østdanmark'!H459</f>
        <v>-37099.291058504961</v>
      </c>
      <c r="I459" s="261">
        <f>'Resultater - Vestdanmark'!I459+'Resultater - Østdanmark'!I459</f>
        <v>-158904.5208773991</v>
      </c>
      <c r="J459" s="262">
        <f>'Resultater - Vestdanmark'!J459+'Resultater - Østdanmark'!J459</f>
        <v>-170346.53322410415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4">
        <f>'Resultater - Vestdanmark'!H460+'Resultater - Østdanmark'!H460</f>
        <v>61384486.300000004</v>
      </c>
      <c r="I460" s="255">
        <f>'Resultater - Vestdanmark'!I460+'Resultater - Østdanmark'!I460</f>
        <v>147058973.22332105</v>
      </c>
      <c r="J460" s="256">
        <f>'Resultater - Vestdanmark'!J460+'Resultater - Østdanmark'!J460</f>
        <v>173098743.31879258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60">
        <f>'Resultater - Vestdanmark'!H461+'Resultater - Østdanmark'!H461</f>
        <v>-128107.91983655478</v>
      </c>
      <c r="I461" s="261">
        <f>'Resultater - Vestdanmark'!I461+'Resultater - Østdanmark'!I461</f>
        <v>-306908.47620466718</v>
      </c>
      <c r="J461" s="262">
        <f>'Resultater - Vestdanmark'!J461+'Resultater - Østdanmark'!J461</f>
        <v>-361252.83877943363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4">
        <f>'Resultater - Vestdanmark'!H462+'Resultater - Østdanmark'!H462</f>
        <v>58183.649999999994</v>
      </c>
      <c r="I462" s="255">
        <f>'Resultater - Vestdanmark'!I462+'Resultater - Østdanmark'!I462</f>
        <v>88846.768196361154</v>
      </c>
      <c r="J462" s="256">
        <f>'Resultater - Vestdanmark'!J462+'Resultater - Østdanmark'!J462</f>
        <v>110102.449113043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4">
        <f>'Resultater - Vestdanmark'!H463+'Resultater - Østdanmark'!H463</f>
        <v>45425220.000000007</v>
      </c>
      <c r="I463" s="255">
        <f>'Resultater - Vestdanmark'!I463+'Resultater - Østdanmark'!I463</f>
        <v>131342041.8151201</v>
      </c>
      <c r="J463" s="256">
        <f>'Resultater - Vestdanmark'!J463+'Resultater - Østdanmark'!J463</f>
        <v>155478565.68889201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4">
        <f>'Resultater - Vestdanmark'!H464+'Resultater - Østdanmark'!H464</f>
        <v>33002600</v>
      </c>
      <c r="I464" s="255">
        <f>'Resultater - Vestdanmark'!I464+'Resultater - Østdanmark'!I464</f>
        <v>0</v>
      </c>
      <c r="J464" s="256">
        <f>'Resultater - Vestdanmark'!J464+'Resultater - Østdanmark'!J464</f>
        <v>0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4">
        <f>'Resultater - Vestdanmark'!H465+'Resultater - Østdanmark'!H465</f>
        <v>2165561.9999999995</v>
      </c>
      <c r="I465" s="255">
        <f>'Resultater - Vestdanmark'!I465+'Resultater - Østdanmark'!I465</f>
        <v>0</v>
      </c>
      <c r="J465" s="256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4">
        <f ca="1">'Resultater - Vestdanmark'!H466+'Resultater - Østdanmark'!H466</f>
        <v>69194816.600000009</v>
      </c>
      <c r="I466" s="255">
        <f ca="1">'Resultater - Vestdanmark'!I466+'Resultater - Østdanmark'!I466</f>
        <v>0</v>
      </c>
      <c r="J466" s="256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4">
        <f>'Resultater - Vestdanmark'!H467+'Resultater - Østdanmark'!H467</f>
        <v>102149122.13</v>
      </c>
      <c r="I467" s="255">
        <f>'Resultater - Vestdanmark'!I467+'Resultater - Østdanmark'!I467</f>
        <v>0</v>
      </c>
      <c r="J467" s="256">
        <f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4">
        <f>'Resultater - Vestdanmark'!H468+'Resultater - Østdanmark'!H468</f>
        <v>0</v>
      </c>
      <c r="I468" s="255">
        <f>'Resultater - Vestdanmark'!I468+'Resultater - Østdanmark'!I468</f>
        <v>0</v>
      </c>
      <c r="J468" s="256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4">
        <f>'Resultater - Vestdanmark'!H469+'Resultater - Østdanmark'!H469</f>
        <v>0</v>
      </c>
      <c r="I469" s="255">
        <f>'Resultater - Vestdanmark'!I469+'Resultater - Østdanmark'!I469</f>
        <v>0</v>
      </c>
      <c r="J469" s="256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4">
        <f>'Resultater - Vestdanmark'!H470+'Resultater - Østdanmark'!H470</f>
        <v>3689.3999999999996</v>
      </c>
      <c r="I470" s="255">
        <f>'Resultater - Vestdanmark'!I470+'Resultater - Østdanmark'!I470</f>
        <v>35475000</v>
      </c>
      <c r="J470" s="256">
        <f>'Resultater - Vestdanmark'!J470+'Resultater - Østdanmark'!J470</f>
        <v>46354000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4">
        <f>'Resultater - Vestdanmark'!H471+'Resultater - Østdanmark'!H471</f>
        <v>0</v>
      </c>
      <c r="I471" s="255">
        <f>'Resultater - Vestdanmark'!I471+'Resultater - Østdanmark'!I471</f>
        <v>0</v>
      </c>
      <c r="J471" s="256">
        <f>'Resultater - Vestdanmark'!J471+'Resultater - Østdanmark'!J471</f>
        <v>0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4">
        <f>'Resultater - Vestdanmark'!H472+'Resultater - Østdanmark'!H472</f>
        <v>60431253.120000005</v>
      </c>
      <c r="I472" s="255">
        <f>'Resultater - Vestdanmark'!I472+'Resultater - Østdanmark'!I472</f>
        <v>60431253.120000005</v>
      </c>
      <c r="J472" s="256">
        <f>'Resultater - Vestdanmark'!J472+'Resultater - Østdanmark'!J472</f>
        <v>60431253.120000005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4">
        <f>'Resultater - Vestdanmark'!H473+'Resultater - Østdanmark'!H473</f>
        <v>37096792.599999994</v>
      </c>
      <c r="I473" s="255">
        <f>'Resultater - Vestdanmark'!I473+'Resultater - Østdanmark'!I473</f>
        <v>76289786.045203626</v>
      </c>
      <c r="J473" s="256">
        <f>'Resultater - Vestdanmark'!J473+'Resultater - Østdanmark'!J473</f>
        <v>95352647.261167347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60">
        <f ca="1">'Resultater - Vestdanmark'!H474+'Resultater - Østdanmark'!H474</f>
        <v>12034020.807749998</v>
      </c>
      <c r="I474" s="261">
        <f ca="1">'Resultater - Vestdanmark'!I474+'Resultater - Østdanmark'!I474</f>
        <v>28950393.886534661</v>
      </c>
      <c r="J474" s="262">
        <f ca="1">'Resultater - Vestdanmark'!J474+'Resultater - Østdanmark'!J474</f>
        <v>33318090.389208868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60">
        <f>'Resultater - Vestdanmark'!H475+'Resultater - Østdanmark'!H475</f>
        <v>78133292.533333316</v>
      </c>
      <c r="I475" s="261">
        <f>'Resultater - Vestdanmark'!I475+'Resultater - Østdanmark'!I475</f>
        <v>22056893.618681639</v>
      </c>
      <c r="J475" s="262">
        <f>'Resultater - Vestdanmark'!J475+'Resultater - Østdanmark'!J475</f>
        <v>7881704.3527964279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60">
        <f>'Resultater - Vestdanmark'!H476+'Resultater - Østdanmark'!H476</f>
        <v>77571922.666666672</v>
      </c>
      <c r="I476" s="261">
        <f>'Resultater - Vestdanmark'!I476+'Resultater - Østdanmark'!I476</f>
        <v>27812571.768003982</v>
      </c>
      <c r="J476" s="262">
        <f>'Resultater - Vestdanmark'!J476+'Resultater - Østdanmark'!J476</f>
        <v>10912450.327425849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60">
        <f>'Resultater - Vestdanmark'!H477+'Resultater - Østdanmark'!H477</f>
        <v>31090.5</v>
      </c>
      <c r="I477" s="261">
        <f>'Resultater - Vestdanmark'!I477+'Resultater - Østdanmark'!I477</f>
        <v>15825.124106222091</v>
      </c>
      <c r="J477" s="262">
        <f>'Resultater - Vestdanmark'!J477+'Resultater - Østdanmark'!J477</f>
        <v>6537.0410838956805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60">
        <f>'Resultater - Vestdanmark'!H478+'Resultater - Østdanmark'!H478</f>
        <v>11532709.900000002</v>
      </c>
      <c r="I478" s="261">
        <f>'Resultater - Vestdanmark'!I478+'Resultater - Østdanmark'!I478</f>
        <v>3867293.4534452027</v>
      </c>
      <c r="J478" s="262">
        <f>'Resultater - Vestdanmark'!J478+'Resultater - Østdanmark'!J478</f>
        <v>1525993.3299094955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60">
        <f ca="1">'Resultater - Vestdanmark'!H479+'Resultater - Østdanmark'!H479</f>
        <v>61624442.148559391</v>
      </c>
      <c r="I479" s="261">
        <f ca="1">'Resultater - Vestdanmark'!I479+'Resultater - Østdanmark'!I479</f>
        <v>163502663.09768856</v>
      </c>
      <c r="J479" s="262">
        <f ca="1">'Resultater - Vestdanmark'!J479+'Resultater - Østdanmark'!J479</f>
        <v>184042217.07933244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60">
        <f ca="1">'Resultater - Vestdanmark'!H480+'Resultater - Østdanmark'!H480</f>
        <v>151170766.56868804</v>
      </c>
      <c r="I480" s="261">
        <f ca="1">'Resultater - Vestdanmark'!I480+'Resultater - Østdanmark'!I480</f>
        <v>148106436.46673036</v>
      </c>
      <c r="J480" s="262">
        <f ca="1">'Resultater - Vestdanmark'!J480+'Resultater - Østdanmark'!J480</f>
        <v>122328612.85235009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4">
        <f>'Resultater - Vestdanmark'!H481+'Resultater - Østdanmark'!H481</f>
        <v>19.591464268115235</v>
      </c>
      <c r="I481" s="265">
        <f>'Resultater - Vestdanmark'!I481+'Resultater - Østdanmark'!I481</f>
        <v>35.562135943713315</v>
      </c>
      <c r="J481" s="266">
        <f>'Resultater - Vestdanmark'!J481+'Resultater - Østdanmark'!J481</f>
        <v>40.755915968061302</v>
      </c>
      <c r="L481" s="152" t="s">
        <v>215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4">
        <f>'Resultater - Vestdanmark'!H482+'Resultater - Østdanmark'!H482</f>
        <v>3.9505661308495017</v>
      </c>
      <c r="I482" s="265">
        <f>'Resultater - Vestdanmark'!I482+'Resultater - Østdanmark'!I482</f>
        <v>7.8112428316740701</v>
      </c>
      <c r="J482" s="266">
        <f>'Resultater - Vestdanmark'!J482+'Resultater - Østdanmark'!J482</f>
        <v>7.5264568791286592</v>
      </c>
      <c r="L482" s="152" t="s">
        <v>219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3">
        <f>'Resultater - Vestdanmark'!H483+'Resultater - Østdanmark'!H483</f>
        <v>3.8615553516557766</v>
      </c>
      <c r="I483" s="265">
        <f>'Resultater - Vestdanmark'!I483+'Resultater - Østdanmark'!I483</f>
        <v>3.8616408274492979</v>
      </c>
      <c r="J483" s="266">
        <f>'Resultater - Vestdanmark'!J483+'Resultater - Østdanmark'!J483</f>
        <v>3.3751563384477912</v>
      </c>
      <c r="L483" s="152" t="s">
        <v>216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3">
        <f ca="1">'Resultater - Vestdanmark'!H484+'Resultater - Østdanmark'!H484</f>
        <v>43.629875452920871</v>
      </c>
      <c r="I484" s="265">
        <f ca="1">'Resultater - Vestdanmark'!I484+'Resultater - Østdanmark'!I484</f>
        <v>41.521042261764158</v>
      </c>
      <c r="J484" s="266">
        <f ca="1">'Resultater - Vestdanmark'!J484+'Resultater - Østdanmark'!J484</f>
        <v>42.400879579560225</v>
      </c>
      <c r="L484" s="152" t="s">
        <v>217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3">
        <f>'Resultater - Vestdanmark'!H485+'Resultater - Østdanmark'!H485</f>
        <v>17.543930524502301</v>
      </c>
      <c r="I485" s="265">
        <f>'Resultater - Vestdanmark'!I485+'Resultater - Østdanmark'!I485</f>
        <v>4.1561576071975512</v>
      </c>
      <c r="J485" s="266">
        <f>'Resultater - Vestdanmark'!J485+'Resultater - Østdanmark'!J485</f>
        <v>5.014688744257171E-2</v>
      </c>
      <c r="L485" s="152" t="s">
        <v>218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3">
        <f ca="1">'Resultater - Vestdanmark'!H486+'Resultater - Østdanmark'!H486</f>
        <v>0</v>
      </c>
      <c r="I486" s="265">
        <f ca="1">'Resultater - Vestdanmark'!I486+'Resultater - Østdanmark'!I486</f>
        <v>6.4981185039678975</v>
      </c>
      <c r="J486" s="266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3">
        <f>'Resultater - Vestdanmark'!H487+'Resultater - Østdanmark'!H487</f>
        <v>0</v>
      </c>
      <c r="I487" s="265">
        <f>'Resultater - Vestdanmark'!I487+'Resultater - Østdanmark'!I487</f>
        <v>0</v>
      </c>
      <c r="J487" s="266">
        <f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3">
        <f>'Resultater - Vestdanmark'!H488+'Resultater - Østdanmark'!H488</f>
        <v>0</v>
      </c>
      <c r="I488" s="265">
        <f>'Resultater - Vestdanmark'!I488+'Resultater - Østdanmark'!I488</f>
        <v>0</v>
      </c>
      <c r="J488" s="266">
        <f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7">
        <f ca="1">'Resultater - Vestdanmark'!H489+'Resultater - Østdanmark'!H489</f>
        <v>16.609927730843868</v>
      </c>
      <c r="I489" s="268">
        <f ca="1">'Resultater - Vestdanmark'!I489+'Resultater - Østdanmark'!I489</f>
        <v>21.541453858819168</v>
      </c>
      <c r="J489" s="269">
        <f ca="1">'Resultater - Vestdanmark'!J489+'Resultater - Østdanmark'!J489</f>
        <v>24.803382790105807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70">
        <f>'Resultater - Vestdanmark'!H490+'Resultater - Østdanmark'!H490</f>
        <v>0</v>
      </c>
      <c r="I490" s="271">
        <f>'Resultater - Vestdanmark'!I490+'Resultater - Østdanmark'!I490</f>
        <v>0</v>
      </c>
      <c r="J490" s="272">
        <f>'Resultater - Vestdanmark'!J490+'Resultater - Østdanmark'!J490</f>
        <v>0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70">
        <f>'Resultater - Vestdanmark'!H491+'Resultater - Østdanmark'!H491</f>
        <v>0</v>
      </c>
      <c r="I491" s="271">
        <f>'Resultater - Vestdanmark'!I491+'Resultater - Østdanmark'!I491</f>
        <v>0</v>
      </c>
      <c r="J491" s="272">
        <f>'Resultater - Vestdanmark'!J491+'Resultater - Østdanmark'!J491</f>
        <v>0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70">
        <f>'Resultater - Vestdanmark'!H492+'Resultater - Østdanmark'!H492</f>
        <v>0</v>
      </c>
      <c r="I492" s="271">
        <f>'Resultater - Vestdanmark'!I492+'Resultater - Østdanmark'!I492</f>
        <v>0</v>
      </c>
      <c r="J492" s="272">
        <f>'Resultater - Vestdanmark'!J492+'Resultater - Østdanmark'!J492</f>
        <v>0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70">
        <f>'Resultater - Vestdanmark'!H493+'Resultater - Østdanmark'!H493</f>
        <v>339162.61425562343</v>
      </c>
      <c r="I493" s="271">
        <f>'Resultater - Vestdanmark'!I493+'Resultater - Østdanmark'!I493</f>
        <v>348716.19784259249</v>
      </c>
      <c r="J493" s="272">
        <f>'Resultater - Vestdanmark'!J493+'Resultater - Østdanmark'!J493</f>
        <v>336002.53924681514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70">
        <f>'Resultater - Vestdanmark'!H494+'Resultater - Østdanmark'!H494</f>
        <v>217064.073123599</v>
      </c>
      <c r="I494" s="271">
        <f>'Resultater - Vestdanmark'!I494+'Resultater - Østdanmark'!I494</f>
        <v>223178.36661925918</v>
      </c>
      <c r="J494" s="272">
        <f>'Resultater - Vestdanmark'!J494+'Resultater - Østdanmark'!J494</f>
        <v>215041.6251179617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70">
        <f>'Resultater - Vestdanmark'!H495+'Resultater - Østdanmark'!H495</f>
        <v>0</v>
      </c>
      <c r="I495" s="271">
        <f>'Resultater - Vestdanmark'!I495+'Resultater - Østdanmark'!I495</f>
        <v>0</v>
      </c>
      <c r="J495" s="272">
        <f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70">
        <f>'Resultater - Vestdanmark'!H496+'Resultater - Østdanmark'!H496</f>
        <v>0</v>
      </c>
      <c r="I496" s="271">
        <f>'Resultater - Vestdanmark'!I496+'Resultater - Østdanmark'!I496</f>
        <v>0</v>
      </c>
      <c r="J496" s="272">
        <f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3">
        <f>'Resultater - Vestdanmark'!H497+'Resultater - Østdanmark'!H497</f>
        <v>0</v>
      </c>
      <c r="I497" s="274">
        <f>'Resultater - Vestdanmark'!I497+'Resultater - Østdanmark'!I497</f>
        <v>0</v>
      </c>
      <c r="J497" s="275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E291"/>
  <sheetViews>
    <sheetView zoomScale="106" workbookViewId="0">
      <pane xSplit="6" ySplit="3" topLeftCell="G4" activePane="bottomRight" state="frozen"/>
      <selection pane="topRight" activeCell="F1" sqref="F1"/>
      <selection pane="bottomLeft" activeCell="A3" sqref="A3"/>
      <selection pane="bottomRight" activeCell="Q4" sqref="Q4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31" ht="15.75" thickTop="1" x14ac:dyDescent="0.25">
      <c r="A1" s="426" t="s">
        <v>248</v>
      </c>
      <c r="B1" s="426"/>
      <c r="C1" s="426"/>
      <c r="D1" s="395"/>
      <c r="G1" s="427" t="s">
        <v>250</v>
      </c>
      <c r="H1" s="427"/>
      <c r="I1" s="427"/>
      <c r="J1" s="427"/>
      <c r="K1" s="427"/>
      <c r="L1" s="427"/>
      <c r="M1" s="427"/>
      <c r="N1" s="428"/>
      <c r="O1" s="429" t="s">
        <v>251</v>
      </c>
      <c r="P1" s="430"/>
      <c r="Q1" s="431"/>
      <c r="R1" s="423" t="s">
        <v>122</v>
      </c>
      <c r="S1" s="423"/>
      <c r="T1" s="423"/>
      <c r="U1" s="424"/>
      <c r="V1" s="425" t="s">
        <v>229</v>
      </c>
      <c r="W1" s="423"/>
      <c r="X1" s="423"/>
      <c r="Y1" s="424"/>
      <c r="AB1" s="422" t="s">
        <v>337</v>
      </c>
      <c r="AC1" s="422"/>
      <c r="AD1">
        <f>År1</f>
        <v>2019</v>
      </c>
      <c r="AE1">
        <f ca="1">SUMIF($E$4:$E$291,$AD1,AC$4:AC$291)</f>
        <v>19.960490719951665</v>
      </c>
    </row>
    <row r="2" spans="1:31" x14ac:dyDescent="0.25">
      <c r="A2" s="395"/>
      <c r="B2" s="395"/>
      <c r="C2" s="395"/>
      <c r="D2" s="395"/>
      <c r="G2" s="396"/>
      <c r="H2" s="396">
        <v>1</v>
      </c>
      <c r="I2" s="396">
        <v>1</v>
      </c>
      <c r="J2" s="396">
        <v>0</v>
      </c>
      <c r="K2" s="396">
        <v>1</v>
      </c>
      <c r="L2" s="396">
        <v>1</v>
      </c>
      <c r="M2" s="396">
        <v>0</v>
      </c>
      <c r="N2" s="396">
        <v>0</v>
      </c>
      <c r="O2" s="397"/>
      <c r="P2" s="398"/>
      <c r="Q2" s="399"/>
      <c r="R2" s="398"/>
      <c r="S2" s="398"/>
      <c r="T2" s="398"/>
      <c r="U2" s="400"/>
      <c r="V2" s="401"/>
      <c r="W2" s="398"/>
      <c r="X2" s="398"/>
      <c r="Y2" s="400"/>
      <c r="AD2">
        <f>År2</f>
        <v>2030</v>
      </c>
      <c r="AE2">
        <f ca="1">SUMIF($E$4:$E$291,$AD2,AC$4:AC$291)</f>
        <v>22.315428687819253</v>
      </c>
    </row>
    <row r="3" spans="1:31" x14ac:dyDescent="0.25">
      <c r="A3" s="91" t="s">
        <v>128</v>
      </c>
      <c r="B3" s="91" t="s">
        <v>311</v>
      </c>
      <c r="C3" s="91" t="s">
        <v>129</v>
      </c>
      <c r="D3" s="91" t="s">
        <v>339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91" t="s">
        <v>338</v>
      </c>
      <c r="AC3" s="91" t="s">
        <v>340</v>
      </c>
      <c r="AD3">
        <f>År3</f>
        <v>2050</v>
      </c>
      <c r="AE3">
        <f ca="1">SUMIF($E$4:$E$291,$AD3,AC$4:AC$291)</f>
        <v>21.592419108386828</v>
      </c>
    </row>
    <row r="4" spans="1:31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  <c r="AB4" s="94">
        <f>G4-SUMPRODUCT($H$2:$N$2,H4:N4)</f>
        <v>216549.9929685164</v>
      </c>
      <c r="AC4">
        <f>AB4*D4*10000*VLOOKUP(A4,[1]kcal!$A$2:$C$49,3,FALSE)/1000000000000</f>
        <v>0.29883899029655259</v>
      </c>
    </row>
    <row r="5" spans="1:31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  <c r="AB5" s="94">
        <f t="shared" ref="AB5:AB68" si="8">G5-SUMPRODUCT($H$2:$N$2,H5:N5)</f>
        <v>193898.88574926884</v>
      </c>
      <c r="AC5">
        <f>AB5*D5*10000*VLOOKUP(A5,[1]kcal!$A$2:$C$49,3,FALSE)/1000000000000</f>
        <v>1.3466277615286721</v>
      </c>
    </row>
    <row r="6" spans="1:31" x14ac:dyDescent="0.25">
      <c r="A6" s="171" t="s">
        <v>102</v>
      </c>
      <c r="B6" s="171" t="s">
        <v>230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B6" s="94">
        <f t="shared" ca="1" si="8"/>
        <v>-199952.34120163022</v>
      </c>
      <c r="AC6">
        <f ca="1">AB6*D6*10000*VLOOKUP(A6,[1]kcal!$A$2:$C$49,3,FALSE)/1000000000000</f>
        <v>0</v>
      </c>
    </row>
    <row r="7" spans="1:31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B7" s="94">
        <f t="shared" ca="1" si="8"/>
        <v>352020220.25091624</v>
      </c>
      <c r="AC7">
        <f ca="1">AB7*D7*10000*VLOOKUP(A7,[1]kcal!$A$2:$C$49,3,FALSE)/1000000000000</f>
        <v>0</v>
      </c>
    </row>
    <row r="8" spans="1:31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B8" s="94">
        <f ca="1">G8-SUMPRODUCT($H$2:$N$2,H8:N8)</f>
        <v>2569317.8008686416</v>
      </c>
      <c r="AC8">
        <f ca="1">AB8*D8*10000*VLOOKUP(A8,[1]kcal!$A$2:$C$49,3,FALSE)/1000000000000</f>
        <v>0</v>
      </c>
    </row>
    <row r="9" spans="1:31" x14ac:dyDescent="0.25">
      <c r="A9" s="171" t="s">
        <v>208</v>
      </c>
      <c r="B9" s="171" t="s">
        <v>230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  <c r="AB9" s="94">
        <f t="shared" si="8"/>
        <v>0</v>
      </c>
      <c r="AC9">
        <f>AB9*D9*10000*VLOOKUP(A9,[1]kcal!$A$2:$C$49,3,FALSE)/1000000000000</f>
        <v>0</v>
      </c>
    </row>
    <row r="10" spans="1:31" x14ac:dyDescent="0.25">
      <c r="A10" t="s">
        <v>101</v>
      </c>
      <c r="B10" s="171" t="s">
        <v>222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  <c r="AB10" s="94">
        <f t="shared" si="8"/>
        <v>1198807.4305444965</v>
      </c>
      <c r="AC10">
        <f>AB10*D10*10000*VLOOKUP(A10,[1]kcal!$A$2:$C$49,3,FALSE)/1000000000000</f>
        <v>0</v>
      </c>
    </row>
    <row r="11" spans="1:31" x14ac:dyDescent="0.25">
      <c r="A11" t="s">
        <v>204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  <c r="AB11" s="94">
        <f t="shared" si="8"/>
        <v>0</v>
      </c>
      <c r="AC11">
        <f>AB11*D11*10000*VLOOKUP(A11,[1]kcal!$A$2:$C$49,3,FALSE)/1000000000000</f>
        <v>0</v>
      </c>
    </row>
    <row r="12" spans="1:31" x14ac:dyDescent="0.25">
      <c r="A12" t="s">
        <v>137</v>
      </c>
      <c r="B12" s="171" t="s">
        <v>222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  <c r="AB12" s="94">
        <f t="shared" si="8"/>
        <v>0</v>
      </c>
      <c r="AC12">
        <f>AB12*D12*10000*VLOOKUP(A12,[1]kcal!$A$2:$C$49,3,FALSE)/1000000000000</f>
        <v>0</v>
      </c>
    </row>
    <row r="13" spans="1:31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  <c r="AB13" s="94">
        <f t="shared" si="8"/>
        <v>185576.29959415729</v>
      </c>
      <c r="AC13">
        <f>AB13*D13*10000*VLOOKUP(A13,[1]kcal!$A$2:$C$49,3,FALSE)/1000000000000</f>
        <v>0.28207597538311907</v>
      </c>
    </row>
    <row r="14" spans="1:31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B14" s="94">
        <f t="shared" si="8"/>
        <v>887836.84200071916</v>
      </c>
      <c r="AC14">
        <f>AB14*D14*10000*VLOOKUP(A14,[1]kcal!$A$2:$C$49,3,FALSE)/1000000000000</f>
        <v>0</v>
      </c>
    </row>
    <row r="15" spans="1:31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B15" s="94">
        <f t="shared" si="8"/>
        <v>25948.722839676255</v>
      </c>
      <c r="AC15">
        <f>AB15*D15*10000*VLOOKUP(A15,[1]kcal!$A$2:$C$49,3,FALSE)/1000000000000</f>
        <v>1.3493335876631653E-2</v>
      </c>
    </row>
    <row r="16" spans="1:31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  <c r="AB16" s="94">
        <f t="shared" si="8"/>
        <v>-114193.60000000001</v>
      </c>
      <c r="AC16">
        <f>AB16*D16*10000*VLOOKUP(A16,[1]kcal!$A$2:$C$49,3,FALSE)/1000000000000</f>
        <v>0</v>
      </c>
    </row>
    <row r="17" spans="1:29" x14ac:dyDescent="0.25">
      <c r="A17" s="171" t="s">
        <v>51</v>
      </c>
      <c r="B17" s="171" t="s">
        <v>224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9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10">G17-SUM(H17:N17)</f>
        <v>3451069.2602304816</v>
      </c>
      <c r="P17" s="94">
        <f t="shared" si="4"/>
        <v>3451069.2602304816</v>
      </c>
      <c r="Q17" s="180">
        <f t="shared" ref="Q17:Q82" si="11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2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3">W17-X17</f>
        <v>0</v>
      </c>
      <c r="Z17">
        <f t="shared" si="1"/>
        <v>0</v>
      </c>
      <c r="AA17">
        <f t="shared" si="2"/>
        <v>1</v>
      </c>
      <c r="AB17" s="94">
        <f t="shared" si="8"/>
        <v>3451069.2602304816</v>
      </c>
      <c r="AC17">
        <f>AB17*D17*10000*VLOOKUP(A17,[1]kcal!$A$2:$C$49,3,FALSE)/1000000000000</f>
        <v>0</v>
      </c>
    </row>
    <row r="18" spans="1:29" x14ac:dyDescent="0.25">
      <c r="A18" s="171" t="s">
        <v>203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9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10"/>
        <v>0</v>
      </c>
      <c r="P18" s="94">
        <f t="shared" si="4"/>
        <v>0</v>
      </c>
      <c r="Q18" s="180">
        <f t="shared" si="11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2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3"/>
        <v>0</v>
      </c>
      <c r="Z18">
        <f t="shared" si="1"/>
        <v>0</v>
      </c>
      <c r="AA18">
        <f t="shared" si="2"/>
        <v>0</v>
      </c>
      <c r="AB18" s="94">
        <f t="shared" si="8"/>
        <v>0</v>
      </c>
      <c r="AC18">
        <f>AB18*D18*10000*VLOOKUP(A18,[1]kcal!$A$2:$C$49,3,FALSE)/1000000000000</f>
        <v>0</v>
      </c>
    </row>
    <row r="19" spans="1:29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9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10"/>
        <v>-76351.578443047096</v>
      </c>
      <c r="P19" s="94">
        <f t="shared" si="4"/>
        <v>0</v>
      </c>
      <c r="Q19" s="180">
        <f t="shared" si="11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2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3"/>
        <v>0</v>
      </c>
      <c r="Z19">
        <f t="shared" si="1"/>
        <v>1</v>
      </c>
      <c r="AA19">
        <f t="shared" si="2"/>
        <v>0</v>
      </c>
      <c r="AB19" s="94">
        <f t="shared" si="8"/>
        <v>185022.9677154524</v>
      </c>
      <c r="AC19">
        <f>AB19*D19*10000*VLOOKUP(A19,[1]kcal!$A$2:$C$49,3,FALSE)/1000000000000</f>
        <v>7.2158957409026434E-2</v>
      </c>
    </row>
    <row r="20" spans="1:29" x14ac:dyDescent="0.25">
      <c r="A20" s="171" t="s">
        <v>67</v>
      </c>
      <c r="B20" s="171" t="s">
        <v>227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9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10"/>
        <v>0</v>
      </c>
      <c r="P20" s="94">
        <f t="shared" si="4"/>
        <v>0</v>
      </c>
      <c r="Q20" s="180">
        <f t="shared" si="11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2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3"/>
        <v>988413.09140597016</v>
      </c>
      <c r="Z20">
        <f t="shared" si="1"/>
        <v>0</v>
      </c>
      <c r="AA20">
        <f t="shared" si="2"/>
        <v>0</v>
      </c>
      <c r="AB20" s="94">
        <f t="shared" si="8"/>
        <v>1162838.9310658486</v>
      </c>
      <c r="AC20">
        <f>AB20*D20*10000*VLOOKUP(A20,[1]kcal!$A$2:$C$49,3,FALSE)/1000000000000</f>
        <v>0</v>
      </c>
    </row>
    <row r="21" spans="1:29" x14ac:dyDescent="0.25">
      <c r="A21" s="171" t="s">
        <v>162</v>
      </c>
      <c r="B21" s="171" t="s">
        <v>230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9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10"/>
        <v>0</v>
      </c>
      <c r="P21" s="94">
        <f t="shared" si="4"/>
        <v>0</v>
      </c>
      <c r="Q21" s="180">
        <f t="shared" si="11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2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3"/>
        <v>159126.11635512838</v>
      </c>
      <c r="Z21">
        <f t="shared" si="1"/>
        <v>0</v>
      </c>
      <c r="AA21">
        <f t="shared" si="2"/>
        <v>0</v>
      </c>
      <c r="AB21" s="94">
        <f t="shared" si="8"/>
        <v>530420.38785042788</v>
      </c>
      <c r="AC21">
        <f>AB21*D21*10000*VLOOKUP(A21,[1]kcal!$A$2:$C$49,3,FALSE)/1000000000000</f>
        <v>0</v>
      </c>
    </row>
    <row r="22" spans="1:29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9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10"/>
        <v>-4828427.5390456235</v>
      </c>
      <c r="P22" s="94">
        <f t="shared" si="4"/>
        <v>0</v>
      </c>
      <c r="Q22" s="180">
        <f t="shared" si="11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2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3"/>
        <v>0</v>
      </c>
      <c r="Z22">
        <f t="shared" si="1"/>
        <v>1</v>
      </c>
      <c r="AA22">
        <f t="shared" si="2"/>
        <v>0</v>
      </c>
      <c r="AB22" s="94">
        <f t="shared" si="8"/>
        <v>-4828427.5390456235</v>
      </c>
      <c r="AC22">
        <f>AB22*D22*10000*VLOOKUP(A22,[1]kcal!$A$2:$C$49,3,FALSE)/1000000000000</f>
        <v>-2.7522036972560056</v>
      </c>
    </row>
    <row r="23" spans="1:29" x14ac:dyDescent="0.25">
      <c r="A23" s="171" t="s">
        <v>103</v>
      </c>
      <c r="B23" s="171" t="s">
        <v>230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9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10"/>
        <v>-203061.53166372905</v>
      </c>
      <c r="P23" s="94">
        <f t="shared" si="4"/>
        <v>0</v>
      </c>
      <c r="Q23" s="180">
        <f t="shared" si="11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2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3"/>
        <v>0</v>
      </c>
      <c r="Z23">
        <f t="shared" si="1"/>
        <v>1</v>
      </c>
      <c r="AA23">
        <f t="shared" si="2"/>
        <v>0</v>
      </c>
      <c r="AB23" s="94">
        <f t="shared" si="8"/>
        <v>-203061.53166372905</v>
      </c>
      <c r="AC23">
        <f>AB23*D23*10000*VLOOKUP(A23,[1]kcal!$A$2:$C$49,3,FALSE)/1000000000000</f>
        <v>0</v>
      </c>
    </row>
    <row r="24" spans="1:29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9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10"/>
        <v>766472.09789043549</v>
      </c>
      <c r="P24" s="94">
        <f t="shared" si="4"/>
        <v>0</v>
      </c>
      <c r="Q24" s="180">
        <f t="shared" si="11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2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3"/>
        <v>0</v>
      </c>
      <c r="Z24">
        <f t="shared" si="1"/>
        <v>0</v>
      </c>
      <c r="AA24">
        <f t="shared" si="2"/>
        <v>1</v>
      </c>
      <c r="AB24" s="94">
        <f t="shared" si="8"/>
        <v>766472.09789043549</v>
      </c>
      <c r="AC24">
        <f>AB24*D24*10000*VLOOKUP(A24,[1]kcal!$A$2:$C$49,3,FALSE)/1000000000000</f>
        <v>0</v>
      </c>
    </row>
    <row r="25" spans="1:29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9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10"/>
        <v>2027113.3294623662</v>
      </c>
      <c r="P25" s="94">
        <f t="shared" si="4"/>
        <v>0</v>
      </c>
      <c r="Q25" s="180">
        <f t="shared" si="11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2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3"/>
        <v>0</v>
      </c>
      <c r="Z25">
        <f t="shared" si="1"/>
        <v>0</v>
      </c>
      <c r="AA25">
        <f t="shared" si="2"/>
        <v>1</v>
      </c>
      <c r="AB25" s="94">
        <f t="shared" si="8"/>
        <v>2146636.3631328358</v>
      </c>
      <c r="AC25">
        <f>AB25*D25*10000*VLOOKUP(A25,[1]kcal!$A$2:$C$49,3,FALSE)/1000000000000</f>
        <v>1.6743763632436117</v>
      </c>
    </row>
    <row r="26" spans="1:29" x14ac:dyDescent="0.25">
      <c r="A26" s="171" t="s">
        <v>48</v>
      </c>
      <c r="B26" s="171" t="s">
        <v>227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9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10"/>
        <v>675046.7637937516</v>
      </c>
      <c r="P26" s="94">
        <f t="shared" si="4"/>
        <v>675046.7637937516</v>
      </c>
      <c r="Q26" s="180">
        <f t="shared" si="11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2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3"/>
        <v>0</v>
      </c>
      <c r="Z26">
        <f t="shared" si="1"/>
        <v>0</v>
      </c>
      <c r="AA26">
        <f t="shared" si="2"/>
        <v>1</v>
      </c>
      <c r="AB26" s="94">
        <f t="shared" si="8"/>
        <v>961376.66863070056</v>
      </c>
      <c r="AC26">
        <f>AB26*D26*10000*VLOOKUP(A26,[1]kcal!$A$2:$C$49,3,FALSE)/1000000000000</f>
        <v>3.5186386071883637</v>
      </c>
    </row>
    <row r="27" spans="1:29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9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10"/>
        <v>-569996.93502990273</v>
      </c>
      <c r="P27" s="94">
        <f t="shared" si="4"/>
        <v>0</v>
      </c>
      <c r="Q27" s="180">
        <f t="shared" si="11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2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3"/>
        <v>0</v>
      </c>
      <c r="Z27">
        <f t="shared" ca="1" si="1"/>
        <v>1</v>
      </c>
      <c r="AA27">
        <f t="shared" ca="1" si="2"/>
        <v>0</v>
      </c>
      <c r="AB27" s="94">
        <f t="shared" ca="1" si="8"/>
        <v>-569996.93502990273</v>
      </c>
      <c r="AC27">
        <f ca="1">AB27*D27*10000*VLOOKUP(A27,[1]kcal!$A$2:$C$49,3,FALSE)/1000000000000</f>
        <v>0</v>
      </c>
    </row>
    <row r="28" spans="1:29" x14ac:dyDescent="0.25">
      <c r="A28" s="171" t="s">
        <v>136</v>
      </c>
      <c r="B28" s="171" t="s">
        <v>222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9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10"/>
        <v>0</v>
      </c>
      <c r="P28" s="94">
        <f t="shared" si="4"/>
        <v>0</v>
      </c>
      <c r="Q28" s="180">
        <f t="shared" si="11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2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3"/>
        <v>0</v>
      </c>
      <c r="Z28">
        <f t="shared" si="1"/>
        <v>0</v>
      </c>
      <c r="AA28">
        <f t="shared" si="2"/>
        <v>0</v>
      </c>
      <c r="AB28" s="94">
        <f t="shared" si="8"/>
        <v>0</v>
      </c>
      <c r="AC28">
        <f>AB28*D28*10000*VLOOKUP(A28,[1]kcal!$A$2:$C$49,3,FALSE)/1000000000000</f>
        <v>0</v>
      </c>
    </row>
    <row r="29" spans="1:29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9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10"/>
        <v>122443.54553678865</v>
      </c>
      <c r="P29" s="94">
        <f t="shared" si="4"/>
        <v>0</v>
      </c>
      <c r="Q29" s="180">
        <f t="shared" si="11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2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3"/>
        <v>0</v>
      </c>
      <c r="Z29">
        <f t="shared" si="1"/>
        <v>0</v>
      </c>
      <c r="AA29">
        <f t="shared" si="2"/>
        <v>1</v>
      </c>
      <c r="AB29" s="94">
        <f t="shared" si="8"/>
        <v>122443.54553678865</v>
      </c>
      <c r="AC29">
        <f>AB29*D29*10000*VLOOKUP(A29,[1]kcal!$A$2:$C$49,3,FALSE)/1000000000000</f>
        <v>0</v>
      </c>
    </row>
    <row r="30" spans="1:29" x14ac:dyDescent="0.25">
      <c r="A30" t="s">
        <v>53</v>
      </c>
      <c r="B30" s="171" t="s">
        <v>224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9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10"/>
        <v>1618746.6633055378</v>
      </c>
      <c r="P30" s="94">
        <f t="shared" si="4"/>
        <v>1274488.0820395502</v>
      </c>
      <c r="Q30" s="180">
        <f t="shared" si="11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2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3"/>
        <v>0</v>
      </c>
      <c r="Z30">
        <f t="shared" si="1"/>
        <v>0</v>
      </c>
      <c r="AA30">
        <f t="shared" si="2"/>
        <v>1</v>
      </c>
      <c r="AB30" s="94">
        <f t="shared" si="8"/>
        <v>1618746.6633055378</v>
      </c>
      <c r="AC30">
        <f>AB30*D30*10000*VLOOKUP(A30,[1]kcal!$A$2:$C$49,3,FALSE)/1000000000000</f>
        <v>1.4730594636080394</v>
      </c>
    </row>
    <row r="31" spans="1:29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9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10"/>
        <v>2703717.1158706988</v>
      </c>
      <c r="P31" s="94">
        <f t="shared" si="4"/>
        <v>0</v>
      </c>
      <c r="Q31" s="180">
        <f t="shared" si="11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2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3"/>
        <v>0</v>
      </c>
      <c r="Z31">
        <f t="shared" si="1"/>
        <v>0</v>
      </c>
      <c r="AA31">
        <f t="shared" si="2"/>
        <v>1</v>
      </c>
      <c r="AB31" s="94">
        <f t="shared" si="8"/>
        <v>3160794.2116654618</v>
      </c>
      <c r="AC31">
        <f>AB31*D31*10000*VLOOKUP(A31,[1]kcal!$A$2:$C$49,3,FALSE)/1000000000000</f>
        <v>1.991300353349241</v>
      </c>
    </row>
    <row r="32" spans="1:29" x14ac:dyDescent="0.25">
      <c r="A32" s="171" t="s">
        <v>106</v>
      </c>
      <c r="B32" s="171" t="s">
        <v>226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9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10"/>
        <v>878.90231344976178</v>
      </c>
      <c r="P32" s="94">
        <f t="shared" si="4"/>
        <v>878.90231344976178</v>
      </c>
      <c r="Q32" s="180">
        <f t="shared" si="11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2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3"/>
        <v>0</v>
      </c>
      <c r="Z32">
        <f t="shared" si="1"/>
        <v>0</v>
      </c>
      <c r="AA32">
        <f t="shared" si="2"/>
        <v>1</v>
      </c>
      <c r="AB32" s="94">
        <f t="shared" si="8"/>
        <v>878.90231344976178</v>
      </c>
      <c r="AC32">
        <f>AB32*D32*10000*VLOOKUP(A32,[1]kcal!$A$2:$C$49,3,FALSE)/1000000000000</f>
        <v>7.2948892016330225E-4</v>
      </c>
    </row>
    <row r="33" spans="1:29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9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10"/>
        <v>50014.542046090508</v>
      </c>
      <c r="P33" s="94">
        <f t="shared" si="4"/>
        <v>0</v>
      </c>
      <c r="Q33" s="180">
        <f t="shared" si="11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2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3"/>
        <v>0</v>
      </c>
      <c r="Z33">
        <f t="shared" si="1"/>
        <v>0</v>
      </c>
      <c r="AA33">
        <f t="shared" si="2"/>
        <v>1</v>
      </c>
      <c r="AB33" s="94">
        <f t="shared" si="8"/>
        <v>108094.85577035608</v>
      </c>
      <c r="AC33">
        <f>AB33*D33*10000*VLOOKUP(A33,[1]kcal!$A$2:$C$49,3,FALSE)/1000000000000</f>
        <v>0.21078496875219438</v>
      </c>
    </row>
    <row r="34" spans="1:29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9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10"/>
        <v>1610618.3345669576</v>
      </c>
      <c r="P34" s="94">
        <f t="shared" si="4"/>
        <v>0</v>
      </c>
      <c r="Q34" s="180">
        <f t="shared" si="11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2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3"/>
        <v>0</v>
      </c>
      <c r="Z34">
        <f t="shared" si="1"/>
        <v>0</v>
      </c>
      <c r="AA34">
        <f t="shared" si="2"/>
        <v>1</v>
      </c>
      <c r="AB34" s="94">
        <f t="shared" si="8"/>
        <v>1610618.3345669576</v>
      </c>
      <c r="AC34">
        <f>AB34*D34*10000*VLOOKUP(A34,[1]kcal!$A$2:$C$49,3,FALSE)/1000000000000</f>
        <v>0.62814115048111341</v>
      </c>
    </row>
    <row r="35" spans="1:29" x14ac:dyDescent="0.25">
      <c r="A35" s="171" t="s">
        <v>95</v>
      </c>
      <c r="B35" s="171" t="s">
        <v>225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9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10"/>
        <v>0</v>
      </c>
      <c r="P35" s="94">
        <f t="shared" si="4"/>
        <v>0</v>
      </c>
      <c r="Q35" s="180">
        <f t="shared" si="11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2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3"/>
        <v>70967.814731961684</v>
      </c>
      <c r="Z35">
        <f t="shared" si="1"/>
        <v>0</v>
      </c>
      <c r="AA35">
        <f t="shared" si="2"/>
        <v>0</v>
      </c>
      <c r="AB35" s="94">
        <f t="shared" si="8"/>
        <v>171006.78248665464</v>
      </c>
      <c r="AC35">
        <f>AB35*D35*10000*VLOOKUP(A35,[1]kcal!$A$2:$C$49,3,FALSE)/1000000000000</f>
        <v>0</v>
      </c>
    </row>
    <row r="36" spans="1:29" x14ac:dyDescent="0.25">
      <c r="A36" s="171" t="s">
        <v>306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9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 t="shared" ref="O36:O37" si="14">G36-SUM(H36:N36)</f>
        <v>0</v>
      </c>
      <c r="P36" s="94">
        <f t="shared" si="4"/>
        <v>0</v>
      </c>
      <c r="Q36" s="180">
        <f t="shared" ref="Q36:Q37" si="15"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ref="U36:U37" si="16"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ref="Y36:Y37" si="17">W36-X36</f>
        <v>0</v>
      </c>
      <c r="Z36">
        <f t="shared" si="1"/>
        <v>0</v>
      </c>
      <c r="AA36">
        <f t="shared" si="2"/>
        <v>0</v>
      </c>
      <c r="AB36" s="94">
        <f t="shared" si="8"/>
        <v>0</v>
      </c>
      <c r="AC36">
        <f>AB36*D36*10000*VLOOKUP(A36,[1]kcal!$A$2:$C$49,3,FALSE)/1000000000000</f>
        <v>0</v>
      </c>
    </row>
    <row r="37" spans="1:29" x14ac:dyDescent="0.25">
      <c r="A37" s="171" t="s">
        <v>307</v>
      </c>
      <c r="B37" s="171" t="s">
        <v>312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9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 t="shared" si="14"/>
        <v>0</v>
      </c>
      <c r="P37" s="94">
        <f t="shared" si="4"/>
        <v>0</v>
      </c>
      <c r="Q37" s="180">
        <f t="shared" si="1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16"/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17"/>
        <v>0</v>
      </c>
      <c r="Z37">
        <f t="shared" si="1"/>
        <v>0</v>
      </c>
      <c r="AA37">
        <f t="shared" si="2"/>
        <v>0</v>
      </c>
      <c r="AB37" s="94">
        <f t="shared" si="8"/>
        <v>0</v>
      </c>
      <c r="AC37">
        <f>AB37*D37*10000*VLOOKUP(A37,[1]kcal!$A$2:$C$49,3,FALSE)/1000000000000</f>
        <v>0</v>
      </c>
    </row>
    <row r="38" spans="1:29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9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10"/>
        <v>4922001.9803787302</v>
      </c>
      <c r="P38" s="94">
        <f t="shared" si="4"/>
        <v>0</v>
      </c>
      <c r="Q38" s="180">
        <f t="shared" si="11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2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3"/>
        <v>0</v>
      </c>
      <c r="Z38">
        <f t="shared" si="1"/>
        <v>0</v>
      </c>
      <c r="AA38">
        <f t="shared" si="2"/>
        <v>1</v>
      </c>
      <c r="AB38" s="94">
        <f t="shared" si="8"/>
        <v>4922001.9803787302</v>
      </c>
      <c r="AC38">
        <f>AB38*D38*10000*VLOOKUP(A38,[1]kcal!$A$2:$C$49,3,FALSE)/1000000000000</f>
        <v>0</v>
      </c>
    </row>
    <row r="39" spans="1:29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9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10"/>
        <v>0</v>
      </c>
      <c r="P39" s="94">
        <f t="shared" si="4"/>
        <v>0</v>
      </c>
      <c r="Q39" s="180">
        <f t="shared" si="11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2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3"/>
        <v>0</v>
      </c>
      <c r="Z39">
        <f t="shared" si="1"/>
        <v>0</v>
      </c>
      <c r="AA39">
        <f t="shared" si="2"/>
        <v>0</v>
      </c>
      <c r="AB39" s="94">
        <f t="shared" si="8"/>
        <v>485762.00237315823</v>
      </c>
      <c r="AC39">
        <f>AB39*D39*10000*VLOOKUP(A39,[1]kcal!$A$2:$C$49,3,FALSE)/1000000000000</f>
        <v>0</v>
      </c>
    </row>
    <row r="40" spans="1:29" x14ac:dyDescent="0.25">
      <c r="A40" t="s">
        <v>238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9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10"/>
        <v>28781.895095316839</v>
      </c>
      <c r="P40" s="94">
        <f t="shared" si="4"/>
        <v>0</v>
      </c>
      <c r="Q40" s="180">
        <f t="shared" si="11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2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3"/>
        <v>0</v>
      </c>
      <c r="Z40">
        <f t="shared" si="1"/>
        <v>0</v>
      </c>
      <c r="AA40">
        <f t="shared" si="2"/>
        <v>1</v>
      </c>
      <c r="AB40" s="94">
        <f t="shared" si="8"/>
        <v>28781.895095316839</v>
      </c>
      <c r="AC40">
        <f>AB40*D40*10000*VLOOKUP(A40,[1]kcal!$A$2:$C$49,3,FALSE)/1000000000000</f>
        <v>0</v>
      </c>
    </row>
    <row r="41" spans="1:29" x14ac:dyDescent="0.25">
      <c r="A41" t="s">
        <v>231</v>
      </c>
      <c r="B41" s="171" t="s">
        <v>231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9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10"/>
        <v>0</v>
      </c>
      <c r="P41" s="94">
        <f t="shared" si="4"/>
        <v>0</v>
      </c>
      <c r="Q41" s="180">
        <f t="shared" si="11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2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3"/>
        <v>0</v>
      </c>
      <c r="Z41">
        <f t="shared" si="1"/>
        <v>0</v>
      </c>
      <c r="AA41">
        <f t="shared" si="2"/>
        <v>0</v>
      </c>
      <c r="AB41" s="94">
        <f t="shared" si="8"/>
        <v>155443.84075941064</v>
      </c>
      <c r="AC41">
        <f>AB41*D41*10000*VLOOKUP(A41,[1]kcal!$A$2:$C$49,3,FALSE)/1000000000000</f>
        <v>1.3989945668346957</v>
      </c>
    </row>
    <row r="42" spans="1:29" x14ac:dyDescent="0.25">
      <c r="A42" t="s">
        <v>52</v>
      </c>
      <c r="B42" s="171" t="s">
        <v>224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9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10"/>
        <v>-467792.00917977782</v>
      </c>
      <c r="P42" s="94">
        <f t="shared" si="4"/>
        <v>0</v>
      </c>
      <c r="Q42" s="180">
        <f t="shared" si="11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2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3"/>
        <v>0</v>
      </c>
      <c r="Z42">
        <f t="shared" si="1"/>
        <v>0</v>
      </c>
      <c r="AA42">
        <f t="shared" si="2"/>
        <v>1</v>
      </c>
      <c r="AB42" s="94">
        <f t="shared" si="8"/>
        <v>-467792.00917977782</v>
      </c>
      <c r="AC42">
        <f>AB42*D42*10000*VLOOKUP(A42,[1]kcal!$A$2:$C$49,3,FALSE)/1000000000000</f>
        <v>-0.14033760275393334</v>
      </c>
    </row>
    <row r="43" spans="1:29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9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10"/>
        <v>193830.89221723122</v>
      </c>
      <c r="P43" s="94">
        <f t="shared" si="4"/>
        <v>0</v>
      </c>
      <c r="Q43" s="180">
        <f t="shared" si="11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2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3"/>
        <v>0</v>
      </c>
      <c r="Z43">
        <f t="shared" si="1"/>
        <v>0</v>
      </c>
      <c r="AA43">
        <f t="shared" si="2"/>
        <v>1</v>
      </c>
      <c r="AB43" s="94">
        <f t="shared" si="8"/>
        <v>193830.89221723122</v>
      </c>
      <c r="AC43">
        <f>AB43*D43*10000*VLOOKUP(A43,[1]kcal!$A$2:$C$49,3,FALSE)/1000000000000</f>
        <v>0</v>
      </c>
    </row>
    <row r="44" spans="1:29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9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10"/>
        <v>91860.340866184866</v>
      </c>
      <c r="P44" s="94">
        <f t="shared" si="4"/>
        <v>0</v>
      </c>
      <c r="Q44" s="180">
        <f t="shared" si="11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2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3"/>
        <v>0</v>
      </c>
      <c r="Z44">
        <f t="shared" si="1"/>
        <v>0</v>
      </c>
      <c r="AA44">
        <f t="shared" si="2"/>
        <v>1</v>
      </c>
      <c r="AB44" s="94">
        <f t="shared" si="8"/>
        <v>91860.340866184866</v>
      </c>
      <c r="AC44">
        <f>AB44*D44*10000*VLOOKUP(A44,[1]kcal!$A$2:$C$49,3,FALSE)/1000000000000</f>
        <v>0</v>
      </c>
    </row>
    <row r="45" spans="1:29" x14ac:dyDescent="0.25">
      <c r="A45" s="171" t="s">
        <v>140</v>
      </c>
      <c r="B45" s="171" t="s">
        <v>230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9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10"/>
        <v>2390013.9527756004</v>
      </c>
      <c r="P45" s="94">
        <f t="shared" si="4"/>
        <v>2390013.9527756004</v>
      </c>
      <c r="Q45" s="180">
        <f t="shared" si="11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2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3"/>
        <v>0</v>
      </c>
      <c r="Z45">
        <f t="shared" si="1"/>
        <v>0</v>
      </c>
      <c r="AA45">
        <f t="shared" si="2"/>
        <v>1</v>
      </c>
      <c r="AB45" s="94">
        <f t="shared" si="8"/>
        <v>2390013.9527756004</v>
      </c>
      <c r="AC45">
        <f>AB45*D45*10000*VLOOKUP(A45,[1]kcal!$A$2:$C$49,3,FALSE)/1000000000000</f>
        <v>0</v>
      </c>
    </row>
    <row r="46" spans="1:29" x14ac:dyDescent="0.25">
      <c r="A46" s="171" t="s">
        <v>135</v>
      </c>
      <c r="B46" s="171" t="s">
        <v>222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9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10"/>
        <v>0</v>
      </c>
      <c r="P46" s="94">
        <f t="shared" si="4"/>
        <v>0</v>
      </c>
      <c r="Q46" s="180">
        <f t="shared" si="11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2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3"/>
        <v>0</v>
      </c>
      <c r="Z46">
        <f t="shared" si="1"/>
        <v>0</v>
      </c>
      <c r="AA46">
        <f t="shared" si="2"/>
        <v>0</v>
      </c>
      <c r="AB46" s="94">
        <f t="shared" si="8"/>
        <v>0</v>
      </c>
      <c r="AC46">
        <f>AB46*D46*10000*VLOOKUP(A46,[1]kcal!$A$2:$C$49,3,FALSE)/1000000000000</f>
        <v>0</v>
      </c>
    </row>
    <row r="47" spans="1:29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9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10"/>
        <v>1276456.3476501952</v>
      </c>
      <c r="P47" s="94">
        <f t="shared" si="4"/>
        <v>0</v>
      </c>
      <c r="Q47" s="180">
        <f t="shared" si="11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2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3"/>
        <v>0</v>
      </c>
      <c r="Z47">
        <f t="shared" si="1"/>
        <v>0</v>
      </c>
      <c r="AA47">
        <f t="shared" si="2"/>
        <v>1</v>
      </c>
      <c r="AB47" s="94">
        <f t="shared" si="8"/>
        <v>1394376.9846055224</v>
      </c>
      <c r="AC47">
        <f>AB47*D47*10000*VLOOKUP(A47,[1]kcal!$A$2:$C$49,3,FALSE)/1000000000000</f>
        <v>2.7190351199807687</v>
      </c>
    </row>
    <row r="48" spans="1:29" x14ac:dyDescent="0.25">
      <c r="A48" s="171" t="s">
        <v>99</v>
      </c>
      <c r="B48" s="171" t="s">
        <v>226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9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10"/>
        <v>76.5</v>
      </c>
      <c r="P48" s="94">
        <f t="shared" si="4"/>
        <v>76.5</v>
      </c>
      <c r="Q48" s="180">
        <f t="shared" si="11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2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3"/>
        <v>0</v>
      </c>
      <c r="Z48">
        <f t="shared" si="1"/>
        <v>0</v>
      </c>
      <c r="AA48">
        <f t="shared" si="2"/>
        <v>1</v>
      </c>
      <c r="AB48" s="94">
        <f t="shared" si="8"/>
        <v>76.5</v>
      </c>
      <c r="AC48">
        <f>AB48*D48*10000*VLOOKUP(A48,[1]kcal!$A$2:$C$49,3,FALSE)/1000000000000</f>
        <v>3.1211999999999999E-5</v>
      </c>
    </row>
    <row r="49" spans="1:29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9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10"/>
        <v>0</v>
      </c>
      <c r="P49" s="94">
        <f t="shared" si="4"/>
        <v>0</v>
      </c>
      <c r="Q49" s="180">
        <f t="shared" si="11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2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3"/>
        <v>0</v>
      </c>
      <c r="Z49">
        <f t="shared" si="1"/>
        <v>0</v>
      </c>
      <c r="AA49">
        <f t="shared" si="2"/>
        <v>0</v>
      </c>
      <c r="AB49" s="94">
        <f t="shared" si="8"/>
        <v>0</v>
      </c>
      <c r="AC49">
        <f>AB49*D49*10000*VLOOKUP(A49,[1]kcal!$A$2:$C$49,3,FALSE)/1000000000000</f>
        <v>0</v>
      </c>
    </row>
    <row r="50" spans="1:29" x14ac:dyDescent="0.25">
      <c r="A50" s="171" t="s">
        <v>119</v>
      </c>
      <c r="B50" s="171" t="s">
        <v>225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9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10"/>
        <v>0</v>
      </c>
      <c r="P50" s="94">
        <f t="shared" ca="1" si="4"/>
        <v>0</v>
      </c>
      <c r="Q50" s="180">
        <f t="shared" ca="1" si="11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2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3"/>
        <v>1151724.8729790249</v>
      </c>
      <c r="Z50">
        <f t="shared" ca="1" si="1"/>
        <v>0</v>
      </c>
      <c r="AA50">
        <f t="shared" ca="1" si="2"/>
        <v>0</v>
      </c>
      <c r="AB50" s="94">
        <f t="shared" ca="1" si="8"/>
        <v>2328677.081002241</v>
      </c>
      <c r="AC50">
        <f ca="1">AB50*D50*10000*VLOOKUP(A50,[1]kcal!$A$2:$C$49,3,FALSE)/1000000000000</f>
        <v>0</v>
      </c>
    </row>
    <row r="51" spans="1:29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9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10"/>
        <v>0</v>
      </c>
      <c r="P51" s="94">
        <f t="shared" si="4"/>
        <v>0</v>
      </c>
      <c r="Q51" s="180">
        <f t="shared" si="11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2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3"/>
        <v>0</v>
      </c>
      <c r="Z51">
        <f t="shared" ca="1" si="1"/>
        <v>0</v>
      </c>
      <c r="AA51">
        <f t="shared" ca="1" si="2"/>
        <v>0</v>
      </c>
      <c r="AB51" s="94">
        <f t="shared" si="8"/>
        <v>640291.52551137318</v>
      </c>
      <c r="AC51">
        <f>AB51*D51*10000*VLOOKUP(A51,[1]kcal!$A$2:$C$49,3,FALSE)/1000000000000</f>
        <v>0</v>
      </c>
    </row>
    <row r="52" spans="1:29" x14ac:dyDescent="0.25">
      <c r="A52" s="171" t="str">
        <f t="shared" ref="A52:A83" si="18">A4</f>
        <v>Æg</v>
      </c>
      <c r="B52" s="171" t="str">
        <f t="shared" ref="B52:B83" si="19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20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213791.94985288731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10"/>
        <v>181212.16529988745</v>
      </c>
      <c r="P52" s="94">
        <f t="shared" si="4"/>
        <v>0</v>
      </c>
      <c r="Q52" s="180">
        <f t="shared" si="11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2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3"/>
        <v>0</v>
      </c>
      <c r="Z52">
        <f t="shared" si="1"/>
        <v>0</v>
      </c>
      <c r="AA52">
        <f t="shared" si="2"/>
        <v>1</v>
      </c>
      <c r="AB52" s="94">
        <f t="shared" si="8"/>
        <v>213791.94985288731</v>
      </c>
      <c r="AC52">
        <f>AB52*D52*10000*VLOOKUP(A52,[1]kcal!$A$2:$C$49,3,FALSE)/1000000000000</f>
        <v>0.29503289079698447</v>
      </c>
    </row>
    <row r="53" spans="1:29" x14ac:dyDescent="0.25">
      <c r="A53" s="171" t="str">
        <f t="shared" si="18"/>
        <v>Bælgsæd</v>
      </c>
      <c r="B53" s="171" t="str">
        <f t="shared" si="19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21">D5</f>
        <v>1</v>
      </c>
      <c r="E53" s="171">
        <f t="shared" si="20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264281.48271181755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62908.541627737373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10"/>
        <v>201372.94108408017</v>
      </c>
      <c r="P53" s="94">
        <f t="shared" si="4"/>
        <v>0</v>
      </c>
      <c r="Q53" s="180">
        <f t="shared" si="11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2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3"/>
        <v>0</v>
      </c>
      <c r="Z53">
        <f t="shared" si="1"/>
        <v>0</v>
      </c>
      <c r="AA53">
        <f t="shared" si="2"/>
        <v>1</v>
      </c>
      <c r="AB53" s="94">
        <f t="shared" si="8"/>
        <v>201372.94108408017</v>
      </c>
      <c r="AC53">
        <f>AB53*D53*10000*VLOOKUP(A53,[1]kcal!$A$2:$C$49,3,FALSE)/1000000000000</f>
        <v>1.3985350758289368</v>
      </c>
    </row>
    <row r="54" spans="1:29" x14ac:dyDescent="0.25">
      <c r="A54" s="171" t="str">
        <f t="shared" si="18"/>
        <v>Bioaffald</v>
      </c>
      <c r="B54" s="171" t="str">
        <f t="shared" si="19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21"/>
        <v>0</v>
      </c>
      <c r="E54" s="171">
        <f t="shared" si="20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10"/>
        <v>0</v>
      </c>
      <c r="P54" s="94">
        <f t="shared" ca="1" si="4"/>
        <v>0</v>
      </c>
      <c r="Q54" s="180">
        <f t="shared" ca="1" si="11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2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3"/>
        <v>54623.023275626925</v>
      </c>
      <c r="Z54">
        <f t="shared" ca="1" si="1"/>
        <v>0</v>
      </c>
      <c r="AA54">
        <f t="shared" ca="1" si="2"/>
        <v>0</v>
      </c>
      <c r="AB54" s="94">
        <f t="shared" ca="1" si="8"/>
        <v>195082.22598438186</v>
      </c>
      <c r="AC54">
        <f ca="1">AB54*D54*10000*VLOOKUP(A54,[1]kcal!$A$2:$C$49,3,FALSE)/1000000000000</f>
        <v>0</v>
      </c>
    </row>
    <row r="55" spans="1:29" x14ac:dyDescent="0.25">
      <c r="A55" s="171" t="str">
        <f t="shared" si="18"/>
        <v>Biogas</v>
      </c>
      <c r="B55" s="171" t="str">
        <f t="shared" si="19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21"/>
        <v>0</v>
      </c>
      <c r="E55" s="171">
        <f t="shared" si="20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492782535.68274039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492782535.68274039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10"/>
        <v>0</v>
      </c>
      <c r="P55" s="94">
        <f t="shared" ca="1" si="4"/>
        <v>0</v>
      </c>
      <c r="Q55" s="180">
        <f t="shared" ca="1" si="11"/>
        <v>492782535.68274039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2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3"/>
        <v>0</v>
      </c>
      <c r="Z55">
        <f t="shared" ca="1" si="1"/>
        <v>0</v>
      </c>
      <c r="AA55">
        <f t="shared" ca="1" si="2"/>
        <v>0</v>
      </c>
      <c r="AB55" s="94">
        <f t="shared" ca="1" si="8"/>
        <v>492782535.68274039</v>
      </c>
      <c r="AC55">
        <f ca="1">AB55*D55*10000*VLOOKUP(A55,[1]kcal!$A$2:$C$49,3,FALSE)/1000000000000</f>
        <v>0</v>
      </c>
    </row>
    <row r="56" spans="1:29" x14ac:dyDescent="0.25">
      <c r="A56" s="171" t="str">
        <f t="shared" si="18"/>
        <v>Biogasgylle</v>
      </c>
      <c r="B56" s="171" t="str">
        <f t="shared" si="19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21"/>
        <v>0</v>
      </c>
      <c r="E56" s="171">
        <f t="shared" si="20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23970432.839117184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19339631.292659696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10"/>
        <v>4630801.5464574881</v>
      </c>
      <c r="P56" s="94">
        <f t="shared" si="4"/>
        <v>0</v>
      </c>
      <c r="Q56" s="180">
        <f t="shared" si="11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2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3"/>
        <v>0</v>
      </c>
      <c r="Z56">
        <f t="shared" ca="1" si="1"/>
        <v>0</v>
      </c>
      <c r="AA56">
        <f t="shared" ca="1" si="2"/>
        <v>1</v>
      </c>
      <c r="AB56" s="94">
        <f t="shared" ca="1" si="8"/>
        <v>4630801.5464574881</v>
      </c>
      <c r="AC56">
        <f ca="1">AB56*D56*10000*VLOOKUP(A56,[1]kcal!$A$2:$C$49,3,FALSE)/1000000000000</f>
        <v>0</v>
      </c>
    </row>
    <row r="57" spans="1:29" x14ac:dyDescent="0.25">
      <c r="A57" s="171" t="str">
        <f t="shared" si="18"/>
        <v>Brun saft</v>
      </c>
      <c r="B57" s="171" t="str">
        <f t="shared" si="19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21"/>
        <v>0</v>
      </c>
      <c r="E57" s="171">
        <f t="shared" si="20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0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0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10"/>
        <v>0</v>
      </c>
      <c r="P57" s="94">
        <f t="shared" si="4"/>
        <v>0</v>
      </c>
      <c r="Q57" s="180">
        <f t="shared" si="11"/>
        <v>0</v>
      </c>
      <c r="R57">
        <f>IFERROR(VLOOKUP(A57,[1]Energiindhold!$A$2:$C$11,3,FALSE),IFERROR(VLOOKUP(A57,[1]Biogasudbytte!$A$2:$B$18,2,FALSE)*[1]Energiindhold!$C$10,0))*P57</f>
        <v>0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0</v>
      </c>
      <c r="T57">
        <f>IFERROR(VLOOKUP(A57,[1]Biogasudbytte!$A$2:$B$18,2,FALSE)*[1]Energiindhold!$C$10,0)*K57*IFERROR(VLOOKUP(A57,Biogasanlæg!$F$3:$G$8,2,FALSE),1)</f>
        <v>0</v>
      </c>
      <c r="U57" s="170">
        <f t="shared" si="12"/>
        <v>0</v>
      </c>
      <c r="V57" s="169">
        <f>P57*IFERROR(VLOOKUP(A57,[1]Tørstofindhold!A$2:B$24,2,FALSE),0)</f>
        <v>0</v>
      </c>
      <c r="W57">
        <f>IF(E57=År1,Q57,SUM(P57,Q57))*IFERROR(VLOOKUP(A57,[1]Tørstofindhold!A$2:B$24,2,FALSE),0)</f>
        <v>0</v>
      </c>
      <c r="X57">
        <f>K57*IFERROR(VLOOKUP(A57,[1]Tørstofindhold!A$2:B$24,2,FALSE),0)</f>
        <v>0</v>
      </c>
      <c r="Y57" s="170">
        <f t="shared" si="13"/>
        <v>0</v>
      </c>
      <c r="Z57">
        <f t="shared" si="1"/>
        <v>0</v>
      </c>
      <c r="AA57">
        <f t="shared" si="2"/>
        <v>0</v>
      </c>
      <c r="AB57" s="94">
        <f t="shared" si="8"/>
        <v>0</v>
      </c>
      <c r="AC57">
        <f>AB57*D57*10000*VLOOKUP(A57,[1]kcal!$A$2:$C$49,3,FALSE)/1000000000000</f>
        <v>0</v>
      </c>
    </row>
    <row r="58" spans="1:29" x14ac:dyDescent="0.25">
      <c r="A58" s="171" t="str">
        <f t="shared" si="18"/>
        <v>Dybstrøelse</v>
      </c>
      <c r="B58" s="171" t="str">
        <f t="shared" si="19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21"/>
        <v>0</v>
      </c>
      <c r="E58" s="171">
        <f t="shared" si="20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2572334.3954420607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1929250.7965815454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243453.07671148074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10"/>
        <v>399630.52214903431</v>
      </c>
      <c r="P58" s="94">
        <f t="shared" si="4"/>
        <v>399630.52214903431</v>
      </c>
      <c r="Q58" s="180">
        <f t="shared" si="11"/>
        <v>1929250.7965815454</v>
      </c>
      <c r="R58">
        <f>IFERROR(VLOOKUP(A58,[1]Energiindhold!$A$2:$C$11,3,FALSE),IFERROR(VLOOKUP(A58,[1]Biogasudbytte!$A$2:$B$18,2,FALSE)*[1]Energiindhold!$C$10,0))*P58</f>
        <v>0.86080414470901989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5.0164103605456685</v>
      </c>
      <c r="T58">
        <f>IFERROR(VLOOKUP(A58,[1]Biogasudbytte!$A$2:$B$18,2,FALSE)*[1]Energiindhold!$C$10,0)*K58*IFERROR(VLOOKUP(A58,Biogasanlæg!$F$3:$G$8,2,FALSE),1)</f>
        <v>4.1556062158366487</v>
      </c>
      <c r="U58" s="170">
        <f t="shared" si="12"/>
        <v>0.86080414470901978</v>
      </c>
      <c r="V58" s="169">
        <f>P58*IFERROR(VLOOKUP(A58,[1]Tørstofindhold!A$2:B$24,2,FALSE),0)</f>
        <v>119889.15664471028</v>
      </c>
      <c r="W58">
        <f>IF(E58=År1,Q58,SUM(P58,Q58))*IFERROR(VLOOKUP(A58,[1]Tørstofindhold!A$2:B$24,2,FALSE),0)</f>
        <v>698664.39561917388</v>
      </c>
      <c r="X58">
        <f>K58*IFERROR(VLOOKUP(A58,[1]Tørstofindhold!A$2:B$24,2,FALSE),0)</f>
        <v>578775.23897446354</v>
      </c>
      <c r="Y58" s="170">
        <f t="shared" si="13"/>
        <v>119889.15664471034</v>
      </c>
      <c r="Z58">
        <f t="shared" si="1"/>
        <v>0</v>
      </c>
      <c r="AA58">
        <f t="shared" si="2"/>
        <v>1</v>
      </c>
      <c r="AB58" s="94">
        <f t="shared" si="8"/>
        <v>399630.52214903431</v>
      </c>
      <c r="AC58">
        <f>AB58*D58*10000*VLOOKUP(A58,[1]kcal!$A$2:$C$49,3,FALSE)/1000000000000</f>
        <v>0</v>
      </c>
    </row>
    <row r="59" spans="1:29" x14ac:dyDescent="0.25">
      <c r="A59" s="171" t="str">
        <f t="shared" si="18"/>
        <v>Fiberfraktion</v>
      </c>
      <c r="B59" s="171" t="str">
        <f t="shared" si="19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21"/>
        <v>0</v>
      </c>
      <c r="E59" s="171">
        <f t="shared" si="20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0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0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10"/>
        <v>0</v>
      </c>
      <c r="P59" s="94">
        <f t="shared" si="4"/>
        <v>0</v>
      </c>
      <c r="Q59" s="180">
        <f t="shared" si="11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2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3"/>
        <v>0</v>
      </c>
      <c r="Z59">
        <f t="shared" si="1"/>
        <v>0</v>
      </c>
      <c r="AA59">
        <f t="shared" si="2"/>
        <v>0</v>
      </c>
      <c r="AB59" s="94">
        <f t="shared" si="8"/>
        <v>0</v>
      </c>
      <c r="AC59">
        <f>AB59*D59*10000*VLOOKUP(A59,[1]kcal!$A$2:$C$49,3,FALSE)/1000000000000</f>
        <v>0</v>
      </c>
    </row>
    <row r="60" spans="1:29" x14ac:dyDescent="0.25">
      <c r="A60" s="171" t="str">
        <f t="shared" si="18"/>
        <v>Fjerkrægylle</v>
      </c>
      <c r="B60" s="171" t="str">
        <f t="shared" si="19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21"/>
        <v>0</v>
      </c>
      <c r="E60" s="171">
        <f t="shared" si="20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8342.726135545483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6257.0446016591122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2085.6815338863707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10"/>
        <v>0</v>
      </c>
      <c r="P60" s="94">
        <f t="shared" si="4"/>
        <v>0</v>
      </c>
      <c r="Q60" s="180">
        <f t="shared" si="11"/>
        <v>6257.0446016591122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2.9426255057142638E-3</v>
      </c>
      <c r="T60">
        <f>IFERROR(VLOOKUP(A60,[1]Biogasudbytte!$A$2:$B$18,2,FALSE)*[1]Energiindhold!$C$10,0)*K60*IFERROR(VLOOKUP(A60,Biogasanlæg!$F$3:$G$8,2,FALSE),1)</f>
        <v>2.9426255057142638E-3</v>
      </c>
      <c r="U60" s="170">
        <f t="shared" si="12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394.19380990452407</v>
      </c>
      <c r="X60">
        <f>K60*IFERROR(VLOOKUP(A60,[1]Tørstofindhold!A$2:B$24,2,FALSE),0)</f>
        <v>394.19380990452407</v>
      </c>
      <c r="Y60" s="170">
        <f t="shared" si="13"/>
        <v>0</v>
      </c>
      <c r="Z60">
        <f t="shared" si="1"/>
        <v>0</v>
      </c>
      <c r="AA60">
        <f t="shared" si="2"/>
        <v>0</v>
      </c>
      <c r="AB60" s="94">
        <f t="shared" si="8"/>
        <v>0</v>
      </c>
      <c r="AC60">
        <f>AB60*D60*10000*VLOOKUP(A60,[1]kcal!$A$2:$C$49,3,FALSE)/1000000000000</f>
        <v>0</v>
      </c>
    </row>
    <row r="61" spans="1:29" x14ac:dyDescent="0.25">
      <c r="A61" s="171" t="str">
        <f t="shared" si="18"/>
        <v>Fjerkrækød</v>
      </c>
      <c r="B61" s="171" t="str">
        <f t="shared" si="19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21"/>
        <v>1</v>
      </c>
      <c r="E61" s="171">
        <f t="shared" si="20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181628.8895635134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10"/>
        <v>146334.12296443019</v>
      </c>
      <c r="P61" s="94">
        <f t="shared" si="4"/>
        <v>0</v>
      </c>
      <c r="Q61" s="180">
        <f t="shared" si="11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2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3"/>
        <v>0</v>
      </c>
      <c r="Z61">
        <f t="shared" si="1"/>
        <v>0</v>
      </c>
      <c r="AA61">
        <f t="shared" si="2"/>
        <v>1</v>
      </c>
      <c r="AB61" s="94">
        <f t="shared" si="8"/>
        <v>181628.8895635134</v>
      </c>
      <c r="AC61">
        <f>AB61*D61*10000*VLOOKUP(A61,[1]kcal!$A$2:$C$49,3,FALSE)/1000000000000</f>
        <v>0.27607591213654037</v>
      </c>
    </row>
    <row r="62" spans="1:29" x14ac:dyDescent="0.25">
      <c r="A62" s="171" t="str">
        <f t="shared" si="18"/>
        <v>Frø</v>
      </c>
      <c r="B62" s="171" t="str">
        <f t="shared" si="19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21"/>
        <v>0</v>
      </c>
      <c r="E62" s="171">
        <f t="shared" si="20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896684.85799615958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10"/>
        <v>896684.85799615958</v>
      </c>
      <c r="P62" s="94">
        <f t="shared" si="4"/>
        <v>0</v>
      </c>
      <c r="Q62" s="180">
        <f t="shared" si="11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2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3"/>
        <v>0</v>
      </c>
      <c r="Z62">
        <f t="shared" si="1"/>
        <v>0</v>
      </c>
      <c r="AA62">
        <f t="shared" si="2"/>
        <v>1</v>
      </c>
      <c r="AB62" s="94">
        <f t="shared" si="8"/>
        <v>896684.85799615958</v>
      </c>
      <c r="AC62">
        <f>AB62*D62*10000*VLOOKUP(A62,[1]kcal!$A$2:$C$49,3,FALSE)/1000000000000</f>
        <v>0</v>
      </c>
    </row>
    <row r="63" spans="1:29" x14ac:dyDescent="0.25">
      <c r="A63" s="171" t="str">
        <f t="shared" si="18"/>
        <v>Frugt</v>
      </c>
      <c r="B63" s="171" t="str">
        <f t="shared" si="19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21"/>
        <v>1</v>
      </c>
      <c r="E63" s="171">
        <f t="shared" si="20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26490.425666789368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10"/>
        <v>-231432.86871112624</v>
      </c>
      <c r="P63" s="94">
        <f t="shared" si="4"/>
        <v>0</v>
      </c>
      <c r="Q63" s="180">
        <f t="shared" si="11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2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3"/>
        <v>0</v>
      </c>
      <c r="Z63">
        <f t="shared" si="1"/>
        <v>1</v>
      </c>
      <c r="AA63">
        <f t="shared" si="2"/>
        <v>0</v>
      </c>
      <c r="AB63" s="94">
        <f t="shared" si="8"/>
        <v>26490.425666789368</v>
      </c>
      <c r="AC63">
        <f>AB63*D63*10000*VLOOKUP(A63,[1]kcal!$A$2:$C$49,3,FALSE)/1000000000000</f>
        <v>1.3775021346730471E-2</v>
      </c>
    </row>
    <row r="64" spans="1:29" x14ac:dyDescent="0.25">
      <c r="A64" s="171" t="str">
        <f t="shared" si="18"/>
        <v>Glycerin</v>
      </c>
      <c r="B64" s="171" t="str">
        <f t="shared" si="19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21"/>
        <v>0</v>
      </c>
      <c r="E64" s="171">
        <f t="shared" si="20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114193.60000000001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10"/>
        <v>-114193.60000000001</v>
      </c>
      <c r="P64" s="94">
        <f t="shared" si="4"/>
        <v>0</v>
      </c>
      <c r="Q64" s="180">
        <f t="shared" si="11"/>
        <v>114193.60000000001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1.7355855896064003</v>
      </c>
      <c r="T64">
        <f>IFERROR(VLOOKUP(A64,[1]Biogasudbytte!$A$2:$B$18,2,FALSE)*[1]Energiindhold!$C$10,0)*K64*IFERROR(VLOOKUP(A64,Biogasanlæg!$F$3:$G$8,2,FALSE),1)</f>
        <v>1.7355855896064003</v>
      </c>
      <c r="U64" s="170">
        <f t="shared" si="12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102774.24</v>
      </c>
      <c r="X64">
        <f>K64*IFERROR(VLOOKUP(A64,[1]Tørstofindhold!A$2:B$24,2,FALSE),0)</f>
        <v>102774.24</v>
      </c>
      <c r="Y64" s="170">
        <f t="shared" si="13"/>
        <v>0</v>
      </c>
      <c r="Z64">
        <f t="shared" si="1"/>
        <v>1</v>
      </c>
      <c r="AA64">
        <f t="shared" si="2"/>
        <v>0</v>
      </c>
      <c r="AB64" s="94">
        <f t="shared" si="8"/>
        <v>-114193.60000000001</v>
      </c>
      <c r="AC64">
        <f>AB64*D64*10000*VLOOKUP(A64,[1]kcal!$A$2:$C$49,3,FALSE)/1000000000000</f>
        <v>0</v>
      </c>
    </row>
    <row r="65" spans="1:29" x14ac:dyDescent="0.25">
      <c r="A65" s="171" t="str">
        <f t="shared" si="18"/>
        <v>Græs</v>
      </c>
      <c r="B65" s="171" t="str">
        <f t="shared" si="19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21"/>
        <v>0</v>
      </c>
      <c r="E65" s="171">
        <f t="shared" si="20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15769668.337175274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11936022.044118334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0</v>
      </c>
      <c r="O65" s="179">
        <f t="shared" si="10"/>
        <v>3833646.2930569407</v>
      </c>
      <c r="P65" s="94">
        <f t="shared" si="4"/>
        <v>3833646.2930569407</v>
      </c>
      <c r="Q65" s="180">
        <f t="shared" si="11"/>
        <v>0</v>
      </c>
      <c r="R65">
        <f>IFERROR(VLOOKUP(A65,[1]Energiindhold!$A$2:$C$11,3,FALSE),IFERROR(VLOOKUP(A65,[1]Biogasudbytte!$A$2:$B$18,2,FALSE)*[1]Energiindhold!$C$10,0))*P65</f>
        <v>7.0534299734381394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7.0534299734381394</v>
      </c>
      <c r="T65">
        <f>IFERROR(VLOOKUP(A65,[1]Biogasudbytte!$A$2:$B$18,2,FALSE)*[1]Energiindhold!$C$10,0)*K65*IFERROR(VLOOKUP(A65,Biogasanlæg!$F$3:$G$8,2,FALSE),1)</f>
        <v>0</v>
      </c>
      <c r="U65" s="170">
        <f t="shared" si="12"/>
        <v>7.0534299734381394</v>
      </c>
      <c r="V65" s="169">
        <f>P65*IFERROR(VLOOKUP(A65,[1]Tørstofindhold!A$2:B$24,2,FALSE),0)</f>
        <v>1073420.9620559434</v>
      </c>
      <c r="W65">
        <f>IF(E65=År1,Q65,SUM(P65,Q65))*IFERROR(VLOOKUP(A65,[1]Tørstofindhold!A$2:B$24,2,FALSE),0)</f>
        <v>1073420.9620559434</v>
      </c>
      <c r="X65">
        <f>K65*IFERROR(VLOOKUP(A65,[1]Tørstofindhold!A$2:B$24,2,FALSE),0)</f>
        <v>0</v>
      </c>
      <c r="Y65" s="170">
        <f t="shared" si="13"/>
        <v>1073420.9620559434</v>
      </c>
      <c r="Z65">
        <f t="shared" si="1"/>
        <v>0</v>
      </c>
      <c r="AA65">
        <f t="shared" si="2"/>
        <v>1</v>
      </c>
      <c r="AB65" s="94">
        <f t="shared" si="8"/>
        <v>3833646.2930569407</v>
      </c>
      <c r="AC65">
        <f>AB65*D65*10000*VLOOKUP(A65,[1]kcal!$A$2:$C$49,3,FALSE)/1000000000000</f>
        <v>0</v>
      </c>
    </row>
    <row r="66" spans="1:29" x14ac:dyDescent="0.25">
      <c r="A66" s="171" t="str">
        <f t="shared" si="18"/>
        <v>Græsprotein</v>
      </c>
      <c r="B66" s="171" t="str">
        <f t="shared" si="19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21"/>
        <v>0</v>
      </c>
      <c r="E66" s="171">
        <f t="shared" si="20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0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0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10"/>
        <v>0</v>
      </c>
      <c r="P66" s="94">
        <f t="shared" si="4"/>
        <v>0</v>
      </c>
      <c r="Q66" s="180">
        <f t="shared" si="11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2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3"/>
        <v>0</v>
      </c>
      <c r="Z66">
        <f t="shared" si="1"/>
        <v>0</v>
      </c>
      <c r="AA66">
        <f t="shared" si="2"/>
        <v>0</v>
      </c>
      <c r="AB66" s="94">
        <f t="shared" si="8"/>
        <v>0</v>
      </c>
      <c r="AC66">
        <f>AB66*D66*10000*VLOOKUP(A66,[1]kcal!$A$2:$C$49,3,FALSE)/1000000000000</f>
        <v>0</v>
      </c>
    </row>
    <row r="67" spans="1:29" x14ac:dyDescent="0.25">
      <c r="A67" s="171" t="str">
        <f t="shared" si="18"/>
        <v>Grøntsager</v>
      </c>
      <c r="B67" s="171" t="str">
        <f t="shared" si="19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21"/>
        <v>1</v>
      </c>
      <c r="E67" s="171">
        <f t="shared" si="20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189947.9283403279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10"/>
        <v>-80192.785244962695</v>
      </c>
      <c r="P67" s="94">
        <f t="shared" si="4"/>
        <v>0</v>
      </c>
      <c r="Q67" s="180">
        <f t="shared" si="11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2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3"/>
        <v>0</v>
      </c>
      <c r="Z67">
        <f t="shared" si="1"/>
        <v>1</v>
      </c>
      <c r="AA67">
        <f t="shared" si="2"/>
        <v>0</v>
      </c>
      <c r="AB67" s="94">
        <f t="shared" si="8"/>
        <v>189947.9283403279</v>
      </c>
      <c r="AC67">
        <f>AB67*D67*10000*VLOOKUP(A67,[1]kcal!$A$2:$C$49,3,FALSE)/1000000000000</f>
        <v>7.4079692052727894E-2</v>
      </c>
    </row>
    <row r="68" spans="1:29" x14ac:dyDescent="0.25">
      <c r="A68" s="171" t="str">
        <f t="shared" si="18"/>
        <v>Halm</v>
      </c>
      <c r="B68" s="171" t="str">
        <f t="shared" si="19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21"/>
        <v>0</v>
      </c>
      <c r="E68" s="171">
        <f t="shared" si="20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3749912.1092935386</v>
      </c>
      <c r="H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754028.76978801878</v>
      </c>
      <c r="I68" s="392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702117.72064633376</v>
      </c>
      <c r="J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2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2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2293765.6188591849</v>
      </c>
      <c r="N68" s="393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10"/>
        <v>0</v>
      </c>
      <c r="P68" s="94">
        <f t="shared" ref="P68:P131" si="22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1"/>
        <v>2293765.6188591849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23.707917223893222</v>
      </c>
      <c r="T68">
        <f>IFERROR(VLOOKUP(A68,[1]Biogasudbytte!$A$2:$B$18,2,FALSE)*[1]Energiindhold!$C$10,0)*K68*IFERROR(VLOOKUP(A68,Biogasanlæg!$F$3:$G$8,2,FALSE),1)</f>
        <v>0</v>
      </c>
      <c r="U68" s="170">
        <f t="shared" si="12"/>
        <v>23.707917223893222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1949700.7760303072</v>
      </c>
      <c r="X68">
        <f>K68*IFERROR(VLOOKUP(A68,[1]Tørstofindhold!A$2:B$24,2,FALSE),0)</f>
        <v>0</v>
      </c>
      <c r="Y68" s="170">
        <f t="shared" si="13"/>
        <v>1949700.7760303072</v>
      </c>
      <c r="Z68">
        <f t="shared" ref="Z68:Z131" si="23">IF(SUMIFS($O$4:$O$291,$A$4:$A$291,A68,$E$4:$E$291,E68)&lt;0,1,0)</f>
        <v>0</v>
      </c>
      <c r="AA68">
        <f t="shared" ref="AA68:AA131" si="24">IF(SUMIFS($O$4:$O$291,$A$4:$A$291,A68,$E$4:$E$291,E68)&gt;0,1,0)</f>
        <v>0</v>
      </c>
      <c r="AB68" s="94">
        <f t="shared" si="8"/>
        <v>2293765.6188591858</v>
      </c>
      <c r="AC68">
        <f>AB68*D68*10000*VLOOKUP(A68,[1]kcal!$A$2:$C$49,3,FALSE)/1000000000000</f>
        <v>0</v>
      </c>
    </row>
    <row r="69" spans="1:29" x14ac:dyDescent="0.25">
      <c r="A69" s="171" t="str">
        <f t="shared" si="18"/>
        <v>Have/parkaffald</v>
      </c>
      <c r="B69" s="171" t="str">
        <f t="shared" si="19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21"/>
        <v>0</v>
      </c>
      <c r="E69" s="171">
        <f t="shared" si="20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401960.68859899876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124773.42126939242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10"/>
        <v>0</v>
      </c>
      <c r="P69" s="94">
        <f t="shared" si="22"/>
        <v>0</v>
      </c>
      <c r="Q69" s="180">
        <f t="shared" si="11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2.9100400181094281</v>
      </c>
      <c r="T69">
        <f>IFERROR(VLOOKUP(A69,[1]Biogasudbytte!$A$2:$B$18,2,FALSE)*[1]Energiindhold!$C$10,0)*K69*IFERROR(VLOOKUP(A69,Biogasanlæg!$F$3:$G$8,2,FALSE),1)</f>
        <v>0.68255738648930186</v>
      </c>
      <c r="U69" s="170">
        <f t="shared" si="12"/>
        <v>2.2274826316201262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120588.20657969962</v>
      </c>
      <c r="Y69" s="170">
        <f t="shared" si="13"/>
        <v>37432.026380817726</v>
      </c>
      <c r="Z69">
        <f t="shared" si="23"/>
        <v>0</v>
      </c>
      <c r="AA69">
        <f t="shared" si="24"/>
        <v>0</v>
      </c>
      <c r="AB69" s="94">
        <f t="shared" ref="AB69:AB132" si="25">G69-SUMPRODUCT($H$2:$N$2,H69:N69)</f>
        <v>124773.42126939242</v>
      </c>
      <c r="AC69">
        <f>AB69*D69*10000*VLOOKUP(A69,[1]kcal!$A$2:$C$49,3,FALSE)/1000000000000</f>
        <v>0</v>
      </c>
    </row>
    <row r="70" spans="1:29" x14ac:dyDescent="0.25">
      <c r="A70" s="171" t="str">
        <f t="shared" si="18"/>
        <v>Import af foder</v>
      </c>
      <c r="B70" s="171" t="str">
        <f t="shared" si="19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21"/>
        <v>1</v>
      </c>
      <c r="E70" s="171">
        <f t="shared" si="20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4709403.3246320067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10"/>
        <v>-4709403.3246320067</v>
      </c>
      <c r="P70" s="94">
        <f t="shared" si="22"/>
        <v>0</v>
      </c>
      <c r="Q70" s="180">
        <f t="shared" si="11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2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3"/>
        <v>0</v>
      </c>
      <c r="Z70">
        <f t="shared" si="23"/>
        <v>1</v>
      </c>
      <c r="AA70">
        <f t="shared" si="24"/>
        <v>0</v>
      </c>
      <c r="AB70" s="94">
        <f t="shared" si="25"/>
        <v>-4709403.3246320067</v>
      </c>
      <c r="AC70">
        <f>AB70*D70*10000*VLOOKUP(A70,[1]kcal!$A$2:$C$49,3,FALSE)/1000000000000</f>
        <v>-2.6843598950402443</v>
      </c>
    </row>
    <row r="71" spans="1:29" x14ac:dyDescent="0.25">
      <c r="A71" s="171" t="str">
        <f t="shared" si="18"/>
        <v>Industriaffald</v>
      </c>
      <c r="B71" s="171" t="str">
        <f t="shared" si="19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21"/>
        <v>0</v>
      </c>
      <c r="E71" s="171">
        <f t="shared" si="20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516148.16711972357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10"/>
        <v>516148.16711972357</v>
      </c>
      <c r="P71" s="94">
        <f t="shared" si="22"/>
        <v>516148.16711972357</v>
      </c>
      <c r="Q71" s="180">
        <f t="shared" si="11"/>
        <v>0</v>
      </c>
      <c r="R71">
        <f>IFERROR(VLOOKUP(A71,[1]Energiindhold!$A$2:$C$11,3,FALSE),IFERROR(VLOOKUP(A71,[1]Biogasudbytte!$A$2:$B$18,2,FALSE)*[1]Energiindhold!$C$10,0))*P71</f>
        <v>2.2365371073914879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2.2365371073914879</v>
      </c>
      <c r="T71">
        <f>IFERROR(VLOOKUP(A71,[1]Biogasudbytte!$A$2:$B$18,2,FALSE)*[1]Energiindhold!$C$10,0)*K71*IFERROR(VLOOKUP(A71,Biogasanlæg!$F$3:$G$8,2,FALSE),1)</f>
        <v>0</v>
      </c>
      <c r="U71" s="170">
        <f t="shared" si="12"/>
        <v>2.2365371073914879</v>
      </c>
      <c r="V71" s="169">
        <f>P71*IFERROR(VLOOKUP(A71,[1]Tørstofindhold!A$2:B$24,2,FALSE),0)</f>
        <v>216782.23019028388</v>
      </c>
      <c r="W71">
        <f>IF(E71=År1,Q71,SUM(P71,Q71))*IFERROR(VLOOKUP(A71,[1]Tørstofindhold!A$2:B$24,2,FALSE),0)</f>
        <v>216782.23019028388</v>
      </c>
      <c r="X71">
        <f>K71*IFERROR(VLOOKUP(A71,[1]Tørstofindhold!A$2:B$24,2,FALSE),0)</f>
        <v>0</v>
      </c>
      <c r="Y71" s="170">
        <f t="shared" si="13"/>
        <v>216782.23019028388</v>
      </c>
      <c r="Z71">
        <f t="shared" si="23"/>
        <v>0</v>
      </c>
      <c r="AA71">
        <f t="shared" si="24"/>
        <v>1</v>
      </c>
      <c r="AB71" s="94">
        <f t="shared" si="25"/>
        <v>516148.16711972357</v>
      </c>
      <c r="AC71">
        <f>AB71*D71*10000*VLOOKUP(A71,[1]kcal!$A$2:$C$49,3,FALSE)/1000000000000</f>
        <v>0</v>
      </c>
    </row>
    <row r="72" spans="1:29" x14ac:dyDescent="0.25">
      <c r="A72" s="171" t="str">
        <f t="shared" si="18"/>
        <v>Juletræer</v>
      </c>
      <c r="B72" s="171" t="str">
        <f t="shared" si="19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21"/>
        <v>0</v>
      </c>
      <c r="E72" s="171">
        <f t="shared" si="20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782472.88933192089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10"/>
        <v>782472.88933192089</v>
      </c>
      <c r="P72" s="94">
        <f t="shared" si="22"/>
        <v>0</v>
      </c>
      <c r="Q72" s="180">
        <f t="shared" si="11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2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3"/>
        <v>0</v>
      </c>
      <c r="Z72">
        <f t="shared" si="23"/>
        <v>0</v>
      </c>
      <c r="AA72">
        <f t="shared" si="24"/>
        <v>1</v>
      </c>
      <c r="AB72" s="94">
        <f t="shared" si="25"/>
        <v>782472.88933192089</v>
      </c>
      <c r="AC72">
        <f>AB72*D72*10000*VLOOKUP(A72,[1]kcal!$A$2:$C$49,3,FALSE)/1000000000000</f>
        <v>0</v>
      </c>
    </row>
    <row r="73" spans="1:29" x14ac:dyDescent="0.25">
      <c r="A73" s="171" t="str">
        <f t="shared" si="18"/>
        <v>Kartofler</v>
      </c>
      <c r="B73" s="171" t="str">
        <f t="shared" si="19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21"/>
        <v>1</v>
      </c>
      <c r="E73" s="171">
        <f t="shared" si="20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2184559.2882253225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10"/>
        <v>2061027.6051285313</v>
      </c>
      <c r="P73" s="94">
        <f t="shared" si="22"/>
        <v>0</v>
      </c>
      <c r="Q73" s="180">
        <f t="shared" si="11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2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3"/>
        <v>0</v>
      </c>
      <c r="Z73">
        <f t="shared" si="23"/>
        <v>0</v>
      </c>
      <c r="AA73">
        <f t="shared" si="24"/>
        <v>1</v>
      </c>
      <c r="AB73" s="94">
        <f t="shared" si="25"/>
        <v>2184559.2882253225</v>
      </c>
      <c r="AC73">
        <f>AB73*D73*10000*VLOOKUP(A73,[1]kcal!$A$2:$C$49,3,FALSE)/1000000000000</f>
        <v>1.7039562448157515</v>
      </c>
    </row>
    <row r="74" spans="1:29" x14ac:dyDescent="0.25">
      <c r="A74" s="171" t="str">
        <f t="shared" si="18"/>
        <v>Korn</v>
      </c>
      <c r="B74" s="171" t="str">
        <f t="shared" si="19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21"/>
        <v>1</v>
      </c>
      <c r="E74" s="171">
        <f t="shared" si="20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7012260.3004318569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5734288.3153172266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10"/>
        <v>982038.94209154788</v>
      </c>
      <c r="P74" s="94">
        <f t="shared" si="22"/>
        <v>982038.94209154788</v>
      </c>
      <c r="Q74" s="180">
        <f t="shared" si="11"/>
        <v>0</v>
      </c>
      <c r="R74">
        <f>IFERROR(VLOOKUP(A74,[1]Energiindhold!$A$2:$C$11,3,FALSE),IFERROR(VLOOKUP(A74,[1]Biogasudbytte!$A$2:$B$18,2,FALSE)*[1]Energiindhold!$C$10,0))*P74</f>
        <v>3.3633458912116594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3.3633458912116594</v>
      </c>
      <c r="T74">
        <f>IFERROR(VLOOKUP(A74,[1]Biogasudbytte!$A$2:$B$18,2,FALSE)*[1]Energiindhold!$C$10,0)*K74*IFERROR(VLOOKUP(A74,Biogasanlæg!$F$3:$G$8,2,FALSE),1)</f>
        <v>0</v>
      </c>
      <c r="U74" s="170">
        <f t="shared" si="12"/>
        <v>3.3633458912116594</v>
      </c>
      <c r="V74" s="169">
        <f>P74*IFERROR(VLOOKUP(A74,[1]Tørstofindhold!A$2:B$24,2,FALSE),0)</f>
        <v>304432.07204837987</v>
      </c>
      <c r="W74">
        <f>IF(E74=År1,Q74,SUM(P74,Q74))*IFERROR(VLOOKUP(A74,[1]Tørstofindhold!A$2:B$24,2,FALSE),0)</f>
        <v>304432.07204837987</v>
      </c>
      <c r="X74">
        <f>K74*IFERROR(VLOOKUP(A74,[1]Tørstofindhold!A$2:B$24,2,FALSE),0)</f>
        <v>0</v>
      </c>
      <c r="Y74" s="170">
        <f t="shared" si="13"/>
        <v>304432.07204837987</v>
      </c>
      <c r="Z74">
        <f t="shared" si="23"/>
        <v>0</v>
      </c>
      <c r="AA74">
        <f t="shared" si="24"/>
        <v>1</v>
      </c>
      <c r="AB74" s="94">
        <f t="shared" si="25"/>
        <v>1277971.9851146303</v>
      </c>
      <c r="AC74">
        <f>AB74*D74*10000*VLOOKUP(A74,[1]kcal!$A$2:$C$49,3,FALSE)/1000000000000</f>
        <v>4.6773774655195473</v>
      </c>
    </row>
    <row r="75" spans="1:29" x14ac:dyDescent="0.25">
      <c r="A75" s="171" t="str">
        <f t="shared" si="18"/>
        <v>Kunstgødning</v>
      </c>
      <c r="B75" s="171" t="str">
        <f t="shared" si="19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21"/>
        <v>0</v>
      </c>
      <c r="E75" s="171">
        <f t="shared" si="20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590491.77533861843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10"/>
        <v>-590491.77533861843</v>
      </c>
      <c r="P75" s="94">
        <f t="shared" si="22"/>
        <v>0</v>
      </c>
      <c r="Q75" s="180">
        <f t="shared" si="11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2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3"/>
        <v>0</v>
      </c>
      <c r="Z75">
        <f t="shared" ca="1" si="23"/>
        <v>1</v>
      </c>
      <c r="AA75">
        <f t="shared" ca="1" si="24"/>
        <v>0</v>
      </c>
      <c r="AB75" s="94">
        <f t="shared" ca="1" si="25"/>
        <v>-590491.77533861843</v>
      </c>
      <c r="AC75">
        <f ca="1">AB75*D75*10000*VLOOKUP(A75,[1]kcal!$A$2:$C$49,3,FALSE)/1000000000000</f>
        <v>0</v>
      </c>
    </row>
    <row r="76" spans="1:29" x14ac:dyDescent="0.25">
      <c r="A76" s="171" t="str">
        <f t="shared" si="18"/>
        <v>Kvæggylle</v>
      </c>
      <c r="B76" s="171" t="str">
        <f t="shared" si="19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21"/>
        <v>0</v>
      </c>
      <c r="E76" s="171">
        <f t="shared" si="20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12983496.711335782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9737622.5335018374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3245874.1778339455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10"/>
        <v>0</v>
      </c>
      <c r="P76" s="94">
        <f t="shared" si="22"/>
        <v>0</v>
      </c>
      <c r="Q76" s="180">
        <f t="shared" si="11"/>
        <v>9737622.5335018374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4.929087150233296</v>
      </c>
      <c r="T76">
        <f>IFERROR(VLOOKUP(A76,[1]Biogasudbytte!$A$2:$B$18,2,FALSE)*[1]Energiindhold!$C$10,0)*K76*IFERROR(VLOOKUP(A76,Biogasanlæg!$F$3:$G$8,2,FALSE),1)</f>
        <v>4.929087150233296</v>
      </c>
      <c r="U76" s="170">
        <f t="shared" si="12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740059.31254613958</v>
      </c>
      <c r="X76">
        <f>K76*IFERROR(VLOOKUP(A76,[1]Tørstofindhold!A$2:B$24,2,FALSE),0)</f>
        <v>740059.31254613958</v>
      </c>
      <c r="Y76" s="170">
        <f t="shared" si="13"/>
        <v>0</v>
      </c>
      <c r="Z76">
        <f t="shared" si="23"/>
        <v>0</v>
      </c>
      <c r="AA76">
        <f t="shared" si="24"/>
        <v>0</v>
      </c>
      <c r="AB76" s="94">
        <f t="shared" si="25"/>
        <v>0</v>
      </c>
      <c r="AC76">
        <f>AB76*D76*10000*VLOOKUP(A76,[1]kcal!$A$2:$C$49,3,FALSE)/1000000000000</f>
        <v>0</v>
      </c>
    </row>
    <row r="77" spans="1:29" x14ac:dyDescent="0.25">
      <c r="A77" s="171" t="str">
        <f t="shared" si="18"/>
        <v>Mælk til foder</v>
      </c>
      <c r="B77" s="171" t="str">
        <f t="shared" si="19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21"/>
        <v>0</v>
      </c>
      <c r="E77" s="171">
        <f t="shared" si="20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1620993.8653666629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1478350.7282518283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10"/>
        <v>142643.13711483451</v>
      </c>
      <c r="P77" s="94">
        <f t="shared" si="22"/>
        <v>0</v>
      </c>
      <c r="Q77" s="180">
        <f t="shared" si="11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2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3"/>
        <v>0</v>
      </c>
      <c r="Z77">
        <f t="shared" si="23"/>
        <v>0</v>
      </c>
      <c r="AA77">
        <f t="shared" si="24"/>
        <v>1</v>
      </c>
      <c r="AB77" s="94">
        <f t="shared" si="25"/>
        <v>142643.13711483451</v>
      </c>
      <c r="AC77">
        <f>AB77*D77*10000*VLOOKUP(A77,[1]kcal!$A$2:$C$49,3,FALSE)/1000000000000</f>
        <v>0</v>
      </c>
    </row>
    <row r="78" spans="1:29" x14ac:dyDescent="0.25">
      <c r="A78" s="171" t="str">
        <f t="shared" si="18"/>
        <v>Majs</v>
      </c>
      <c r="B78" s="171" t="str">
        <f t="shared" si="19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21"/>
        <v>1</v>
      </c>
      <c r="E78" s="171">
        <f t="shared" si="20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7810797.3149183672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5517603.3385994658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10"/>
        <v>2293193.9763189014</v>
      </c>
      <c r="P78" s="94">
        <f t="shared" si="22"/>
        <v>2001163.0190917293</v>
      </c>
      <c r="Q78" s="180">
        <f t="shared" si="11"/>
        <v>0</v>
      </c>
      <c r="R78">
        <f>IFERROR(VLOOKUP(A78,[1]Energiindhold!$A$2:$C$11,3,FALSE),IFERROR(VLOOKUP(A78,[1]Biogasudbytte!$A$2:$B$18,2,FALSE)*[1]Energiindhold!$C$10,0))*P78</f>
        <v>7.1841752385393089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7.1841752385393089</v>
      </c>
      <c r="T78">
        <f>IFERROR(VLOOKUP(A78,[1]Biogasudbytte!$A$2:$B$18,2,FALSE)*[1]Energiindhold!$C$10,0)*K78*IFERROR(VLOOKUP(A78,Biogasanlæg!$F$3:$G$8,2,FALSE),1)</f>
        <v>0</v>
      </c>
      <c r="U78" s="170">
        <f t="shared" si="12"/>
        <v>7.1841752385393089</v>
      </c>
      <c r="V78" s="169">
        <f>P78*IFERROR(VLOOKUP(A78,[1]Tørstofindhold!A$2:B$24,2,FALSE),0)</f>
        <v>600348.90572751872</v>
      </c>
      <c r="W78">
        <f>IF(E78=År1,Q78,SUM(P78,Q78))*IFERROR(VLOOKUP(A78,[1]Tørstofindhold!A$2:B$24,2,FALSE),0)</f>
        <v>600348.90572751872</v>
      </c>
      <c r="X78">
        <f>K78*IFERROR(VLOOKUP(A78,[1]Tørstofindhold!A$2:B$24,2,FALSE),0)</f>
        <v>0</v>
      </c>
      <c r="Y78" s="170">
        <f t="shared" si="13"/>
        <v>600348.90572751872</v>
      </c>
      <c r="Z78">
        <f t="shared" si="23"/>
        <v>0</v>
      </c>
      <c r="AA78">
        <f t="shared" si="24"/>
        <v>1</v>
      </c>
      <c r="AB78" s="94">
        <f t="shared" si="25"/>
        <v>2293193.9763189014</v>
      </c>
      <c r="AC78">
        <f>AB78*D78*10000*VLOOKUP(A78,[1]kcal!$A$2:$C$49,3,FALSE)/1000000000000</f>
        <v>2.0868065184502003</v>
      </c>
    </row>
    <row r="79" spans="1:29" x14ac:dyDescent="0.25">
      <c r="A79" s="171" t="str">
        <f t="shared" si="18"/>
        <v>Mejeriprodukter</v>
      </c>
      <c r="B79" s="171" t="str">
        <f t="shared" si="19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21"/>
        <v>1</v>
      </c>
      <c r="E79" s="171">
        <f t="shared" si="20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3127676.8816170068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10"/>
        <v>2655270.0055985088</v>
      </c>
      <c r="P79" s="94">
        <f t="shared" si="22"/>
        <v>0</v>
      </c>
      <c r="Q79" s="180">
        <f t="shared" si="11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2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3"/>
        <v>0</v>
      </c>
      <c r="Z79">
        <f t="shared" si="23"/>
        <v>0</v>
      </c>
      <c r="AA79">
        <f t="shared" si="24"/>
        <v>1</v>
      </c>
      <c r="AB79" s="94">
        <f t="shared" si="25"/>
        <v>3127676.8816170068</v>
      </c>
      <c r="AC79">
        <f>AB79*D79*10000*VLOOKUP(A79,[1]kcal!$A$2:$C$49,3,FALSE)/1000000000000</f>
        <v>1.970436435418714</v>
      </c>
    </row>
    <row r="80" spans="1:29" x14ac:dyDescent="0.25">
      <c r="A80" s="171" t="str">
        <f t="shared" si="18"/>
        <v>Muslinger</v>
      </c>
      <c r="B80" s="171" t="str">
        <f t="shared" si="19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21"/>
        <v>1</v>
      </c>
      <c r="E80" s="171">
        <f t="shared" si="20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10"/>
        <v>878.90231344976178</v>
      </c>
      <c r="P80" s="94">
        <f t="shared" si="22"/>
        <v>878.90231344976178</v>
      </c>
      <c r="Q80" s="180">
        <f t="shared" si="11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2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3"/>
        <v>131.83534701746427</v>
      </c>
      <c r="Z80">
        <f t="shared" si="23"/>
        <v>0</v>
      </c>
      <c r="AA80">
        <f t="shared" si="24"/>
        <v>1</v>
      </c>
      <c r="AB80" s="94">
        <f t="shared" si="25"/>
        <v>878.90231344976178</v>
      </c>
      <c r="AC80">
        <f>AB80*D80*10000*VLOOKUP(A80,[1]kcal!$A$2:$C$49,3,FALSE)/1000000000000</f>
        <v>7.2948892016330225E-4</v>
      </c>
    </row>
    <row r="81" spans="1:29" x14ac:dyDescent="0.25">
      <c r="A81" s="171" t="str">
        <f t="shared" si="18"/>
        <v>Oksekød</v>
      </c>
      <c r="B81" s="171" t="str">
        <f t="shared" si="19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21"/>
        <v>1</v>
      </c>
      <c r="E81" s="171">
        <f t="shared" si="20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106168.13854148486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10"/>
        <v>46139.885502582598</v>
      </c>
      <c r="P81" s="94">
        <f t="shared" si="22"/>
        <v>0</v>
      </c>
      <c r="Q81" s="180">
        <f t="shared" si="11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2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3"/>
        <v>0</v>
      </c>
      <c r="Z81">
        <f t="shared" si="23"/>
        <v>0</v>
      </c>
      <c r="AA81">
        <f t="shared" si="24"/>
        <v>1</v>
      </c>
      <c r="AB81" s="94">
        <f t="shared" si="25"/>
        <v>106168.13854148486</v>
      </c>
      <c r="AC81">
        <f>AB81*D81*10000*VLOOKUP(A81,[1]kcal!$A$2:$C$49,3,FALSE)/1000000000000</f>
        <v>0.20702787015589552</v>
      </c>
    </row>
    <row r="82" spans="1:29" x14ac:dyDescent="0.25">
      <c r="A82" s="171" t="str">
        <f t="shared" si="18"/>
        <v>Øvrige</v>
      </c>
      <c r="B82" s="171" t="str">
        <f t="shared" si="19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21"/>
        <v>1</v>
      </c>
      <c r="E82" s="171">
        <f t="shared" si="20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1644241.434656535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10"/>
        <v>1644241.434656535</v>
      </c>
      <c r="P82" s="94">
        <f t="shared" si="22"/>
        <v>0</v>
      </c>
      <c r="Q82" s="180">
        <f t="shared" si="11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2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3"/>
        <v>0</v>
      </c>
      <c r="Z82">
        <f t="shared" si="23"/>
        <v>0</v>
      </c>
      <c r="AA82">
        <f t="shared" si="24"/>
        <v>1</v>
      </c>
      <c r="AB82" s="94">
        <f t="shared" si="25"/>
        <v>1644241.434656535</v>
      </c>
      <c r="AC82">
        <f>AB82*D82*10000*VLOOKUP(A82,[1]kcal!$A$2:$C$49,3,FALSE)/1000000000000</f>
        <v>0.64125415951604858</v>
      </c>
    </row>
    <row r="83" spans="1:29" x14ac:dyDescent="0.25">
      <c r="A83" s="171" t="str">
        <f t="shared" si="18"/>
        <v>Pil &amp; poppel</v>
      </c>
      <c r="B83" s="171" t="str">
        <f t="shared" si="19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21"/>
        <v>0</v>
      </c>
      <c r="E83" s="171">
        <f t="shared" si="20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170203.15251490066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170203.15251490066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6">G83-SUM(H83:N83)</f>
        <v>0</v>
      </c>
      <c r="P83" s="94">
        <f t="shared" si="22"/>
        <v>0</v>
      </c>
      <c r="Q83" s="180">
        <f t="shared" ref="Q83:Q150" si="27">SUM(K83,M83)</f>
        <v>170203.15251490066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3.1317380062741718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8">S83-T83</f>
        <v>3.1317380062741718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70634.308293683775</v>
      </c>
      <c r="X83">
        <f>K83*IFERROR(VLOOKUP(A83,[1]Tørstofindhold!A$2:B$24,2,FALSE),0)</f>
        <v>0</v>
      </c>
      <c r="Y83" s="170">
        <f t="shared" ref="Y83:Y150" si="29">W83-X83</f>
        <v>70634.308293683775</v>
      </c>
      <c r="Z83">
        <f t="shared" si="23"/>
        <v>0</v>
      </c>
      <c r="AA83">
        <f t="shared" si="24"/>
        <v>0</v>
      </c>
      <c r="AB83" s="94">
        <f t="shared" si="25"/>
        <v>170203.15251490066</v>
      </c>
      <c r="AC83">
        <f>AB83*D83*10000*VLOOKUP(A83,[1]kcal!$A$2:$C$49,3,FALSE)/1000000000000</f>
        <v>0</v>
      </c>
    </row>
    <row r="84" spans="1:29" x14ac:dyDescent="0.25">
      <c r="A84" s="171" t="str">
        <f t="shared" ref="A84:A85" si="30">A36</f>
        <v>Pyrolysegas</v>
      </c>
      <c r="B84" s="171" t="str">
        <f t="shared" ref="B84:B85" si="31"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21"/>
        <v>0</v>
      </c>
      <c r="E84" s="171">
        <f t="shared" si="20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 t="shared" ref="O84:O85" si="32">G84-SUM(H84:N84)</f>
        <v>0</v>
      </c>
      <c r="P84" s="94">
        <f t="shared" si="22"/>
        <v>0</v>
      </c>
      <c r="Q84" s="180">
        <f t="shared" ref="Q84:Q85" si="33"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ref="U84:U85" si="34"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ref="Y84:Y85" si="35">W84-X84</f>
        <v>0</v>
      </c>
      <c r="Z84">
        <f t="shared" si="23"/>
        <v>0</v>
      </c>
      <c r="AA84">
        <f t="shared" si="24"/>
        <v>0</v>
      </c>
      <c r="AB84" s="94">
        <f t="shared" si="25"/>
        <v>0</v>
      </c>
      <c r="AC84">
        <f>AB84*D84*10000*VLOOKUP(A84,[1]kcal!$A$2:$C$49,3,FALSE)/1000000000000</f>
        <v>0</v>
      </c>
    </row>
    <row r="85" spans="1:29" x14ac:dyDescent="0.25">
      <c r="A85" s="171" t="str">
        <f t="shared" si="30"/>
        <v>Pyrolyseolie</v>
      </c>
      <c r="B85" s="171" t="str">
        <f t="shared" si="31"/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21"/>
        <v>0</v>
      </c>
      <c r="E85" s="171">
        <f t="shared" si="20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 t="shared" si="32"/>
        <v>0</v>
      </c>
      <c r="P85" s="94">
        <f t="shared" si="22"/>
        <v>0</v>
      </c>
      <c r="Q85" s="180">
        <f t="shared" si="33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34"/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35"/>
        <v>0</v>
      </c>
      <c r="Z85">
        <f t="shared" si="23"/>
        <v>0</v>
      </c>
      <c r="AA85">
        <f t="shared" si="24"/>
        <v>0</v>
      </c>
      <c r="AB85" s="94">
        <f t="shared" si="25"/>
        <v>0</v>
      </c>
      <c r="AC85">
        <f>AB85*D85*10000*VLOOKUP(A85,[1]kcal!$A$2:$C$49,3,FALSE)/1000000000000</f>
        <v>0</v>
      </c>
    </row>
    <row r="86" spans="1:29" x14ac:dyDescent="0.25">
      <c r="A86" s="171" t="str">
        <f t="shared" ref="A86:A131" si="36">A38</f>
        <v>Råmælk</v>
      </c>
      <c r="B86" s="171" t="str">
        <f t="shared" ref="B86:B131" si="37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21"/>
        <v>0</v>
      </c>
      <c r="E86" s="171">
        <f t="shared" si="20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4870431.535367866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6"/>
        <v>4870431.535367866</v>
      </c>
      <c r="P86" s="94">
        <f t="shared" si="22"/>
        <v>0</v>
      </c>
      <c r="Q86" s="180">
        <f t="shared" si="27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8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9"/>
        <v>0</v>
      </c>
      <c r="Z86">
        <f t="shared" si="23"/>
        <v>0</v>
      </c>
      <c r="AA86">
        <f t="shared" si="24"/>
        <v>1</v>
      </c>
      <c r="AB86" s="94">
        <f t="shared" si="25"/>
        <v>4870431.535367866</v>
      </c>
      <c r="AC86">
        <f>AB86*D86*10000*VLOOKUP(A86,[1]kcal!$A$2:$C$49,3,FALSE)/1000000000000</f>
        <v>0</v>
      </c>
    </row>
    <row r="87" spans="1:29" x14ac:dyDescent="0.25">
      <c r="A87" s="171" t="str">
        <f t="shared" si="36"/>
        <v>Raps</v>
      </c>
      <c r="B87" s="171" t="str">
        <f t="shared" si="37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21"/>
        <v>0</v>
      </c>
      <c r="E87" s="171">
        <f t="shared" si="20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497134.76694638823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497134.76694638823</v>
      </c>
      <c r="O87" s="179">
        <f t="shared" si="26"/>
        <v>0</v>
      </c>
      <c r="P87" s="94">
        <f t="shared" si="22"/>
        <v>0</v>
      </c>
      <c r="Q87" s="180">
        <f t="shared" si="27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8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9"/>
        <v>0</v>
      </c>
      <c r="Z87">
        <f t="shared" si="23"/>
        <v>0</v>
      </c>
      <c r="AA87">
        <f t="shared" si="24"/>
        <v>0</v>
      </c>
      <c r="AB87" s="94">
        <f t="shared" si="25"/>
        <v>497134.76694638823</v>
      </c>
      <c r="AC87">
        <f>AB87*D87*10000*VLOOKUP(A87,[1]kcal!$A$2:$C$49,3,FALSE)/1000000000000</f>
        <v>0</v>
      </c>
    </row>
    <row r="88" spans="1:29" x14ac:dyDescent="0.25">
      <c r="A88" s="171" t="str">
        <f t="shared" si="36"/>
        <v>Rapskage</v>
      </c>
      <c r="B88" s="171" t="str">
        <f t="shared" si="37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21"/>
        <v>0</v>
      </c>
      <c r="E88" s="171">
        <f t="shared" si="20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248567.38347319412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208821.40901429488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6"/>
        <v>39745.974458899233</v>
      </c>
      <c r="P88" s="94">
        <f t="shared" si="22"/>
        <v>0</v>
      </c>
      <c r="Q88" s="180">
        <f t="shared" si="27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8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9"/>
        <v>0</v>
      </c>
      <c r="Z88">
        <f t="shared" si="23"/>
        <v>0</v>
      </c>
      <c r="AA88">
        <f t="shared" si="24"/>
        <v>1</v>
      </c>
      <c r="AB88" s="94">
        <f t="shared" si="25"/>
        <v>39745.974458899233</v>
      </c>
      <c r="AC88">
        <f>AB88*D88*10000*VLOOKUP(A88,[1]kcal!$A$2:$C$49,3,FALSE)/1000000000000</f>
        <v>0</v>
      </c>
    </row>
    <row r="89" spans="1:29" x14ac:dyDescent="0.25">
      <c r="A89" s="171" t="str">
        <f t="shared" si="36"/>
        <v>Rapsolie</v>
      </c>
      <c r="B89" s="171" t="str">
        <f t="shared" si="37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21"/>
        <v>1</v>
      </c>
      <c r="E89" s="171">
        <f t="shared" si="20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159083.12542284423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159083.12542284423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6"/>
        <v>0</v>
      </c>
      <c r="P89" s="94">
        <f t="shared" si="22"/>
        <v>0</v>
      </c>
      <c r="Q89" s="180">
        <f t="shared" si="27"/>
        <v>159083.12542284423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5.5679093897995475</v>
      </c>
      <c r="T89">
        <f>IFERROR(VLOOKUP(A89,[1]Biogasudbytte!$A$2:$B$18,2,FALSE)*[1]Energiindhold!$C$10,0)*K89*IFERROR(VLOOKUP(A89,Biogasanlæg!$F$3:$G$8,2,FALSE),1)</f>
        <v>0</v>
      </c>
      <c r="U89" s="170">
        <f t="shared" si="28"/>
        <v>5.5679093897995475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9"/>
        <v>0</v>
      </c>
      <c r="Z89">
        <f t="shared" si="23"/>
        <v>0</v>
      </c>
      <c r="AA89">
        <f t="shared" si="24"/>
        <v>0</v>
      </c>
      <c r="AB89" s="94">
        <f t="shared" si="25"/>
        <v>159083.12542284423</v>
      </c>
      <c r="AC89">
        <f>AB89*D89*10000*VLOOKUP(A89,[1]kcal!$A$2:$C$49,3,FALSE)/1000000000000</f>
        <v>1.431748128805598</v>
      </c>
    </row>
    <row r="90" spans="1:29" x14ac:dyDescent="0.25">
      <c r="A90" s="171" t="str">
        <f t="shared" si="36"/>
        <v>Roer</v>
      </c>
      <c r="B90" s="171" t="str">
        <f t="shared" si="37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21"/>
        <v>1</v>
      </c>
      <c r="E90" s="171">
        <f t="shared" si="20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387359.23061650008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820432.23039507493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6"/>
        <v>-433072.99977857486</v>
      </c>
      <c r="P90" s="94">
        <f t="shared" si="22"/>
        <v>0</v>
      </c>
      <c r="Q90" s="180">
        <f t="shared" si="27"/>
        <v>0</v>
      </c>
      <c r="R90">
        <f>IFERROR(VLOOKUP(A90,[1]Energiindhold!$A$2:$C$11,3,FALSE),IFERROR(VLOOKUP(A90,[1]Biogasudbytte!$A$2:$B$18,2,FALSE)*[1]Energiindhold!$C$10,0))*P90</f>
        <v>0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0</v>
      </c>
      <c r="T90">
        <f>IFERROR(VLOOKUP(A90,[1]Biogasudbytte!$A$2:$B$18,2,FALSE)*[1]Energiindhold!$C$10,0)*K90*IFERROR(VLOOKUP(A90,Biogasanlæg!$F$3:$G$8,2,FALSE),1)</f>
        <v>0</v>
      </c>
      <c r="U90" s="170">
        <f t="shared" si="28"/>
        <v>0</v>
      </c>
      <c r="V90" s="169">
        <f>P90*IFERROR(VLOOKUP(A90,[1]Tørstofindhold!A$2:B$24,2,FALSE),0)</f>
        <v>0</v>
      </c>
      <c r="W90">
        <f>IF(E90=År1,Q90,SUM(P90,Q90))*IFERROR(VLOOKUP(A90,[1]Tørstofindhold!A$2:B$24,2,FALSE),0)</f>
        <v>0</v>
      </c>
      <c r="X90">
        <f>K90*IFERROR(VLOOKUP(A90,[1]Tørstofindhold!A$2:B$24,2,FALSE),0)</f>
        <v>0</v>
      </c>
      <c r="Y90" s="170">
        <f t="shared" si="29"/>
        <v>0</v>
      </c>
      <c r="Z90">
        <f t="shared" si="23"/>
        <v>0</v>
      </c>
      <c r="AA90">
        <f t="shared" si="24"/>
        <v>1</v>
      </c>
      <c r="AB90" s="94">
        <f t="shared" si="25"/>
        <v>-433072.99977857486</v>
      </c>
      <c r="AC90">
        <f>AB90*D90*10000*VLOOKUP(A90,[1]kcal!$A$2:$C$49,3,FALSE)/1000000000000</f>
        <v>-0.12992189993357245</v>
      </c>
    </row>
    <row r="91" spans="1:29" x14ac:dyDescent="0.25">
      <c r="A91" s="171" t="str">
        <f t="shared" si="36"/>
        <v>Slagteriaffald til andet</v>
      </c>
      <c r="B91" s="171" t="str">
        <f t="shared" si="37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21"/>
        <v>0</v>
      </c>
      <c r="E91" s="171">
        <f t="shared" si="20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186820.23082427966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6"/>
        <v>186820.23082427966</v>
      </c>
      <c r="P91" s="94">
        <f t="shared" si="22"/>
        <v>0</v>
      </c>
      <c r="Q91" s="180">
        <f t="shared" si="27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8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9"/>
        <v>0</v>
      </c>
      <c r="Z91">
        <f t="shared" si="23"/>
        <v>0</v>
      </c>
      <c r="AA91">
        <f t="shared" si="24"/>
        <v>1</v>
      </c>
      <c r="AB91" s="94">
        <f t="shared" si="25"/>
        <v>186820.23082427966</v>
      </c>
      <c r="AC91">
        <f>AB91*D91*10000*VLOOKUP(A91,[1]kcal!$A$2:$C$49,3,FALSE)/1000000000000</f>
        <v>0</v>
      </c>
    </row>
    <row r="92" spans="1:29" x14ac:dyDescent="0.25">
      <c r="A92" s="171" t="str">
        <f t="shared" si="36"/>
        <v>Slagteriaffald til foder</v>
      </c>
      <c r="B92" s="171" t="str">
        <f t="shared" si="37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21"/>
        <v>0</v>
      </c>
      <c r="E92" s="171">
        <f t="shared" si="20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125332.48409482336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38444.108772506181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6"/>
        <v>86888.375322317181</v>
      </c>
      <c r="P92" s="94">
        <f t="shared" si="22"/>
        <v>0</v>
      </c>
      <c r="Q92" s="180">
        <f t="shared" si="27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8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9"/>
        <v>0</v>
      </c>
      <c r="Z92">
        <f t="shared" si="23"/>
        <v>0</v>
      </c>
      <c r="AA92">
        <f t="shared" si="24"/>
        <v>1</v>
      </c>
      <c r="AB92" s="94">
        <f t="shared" si="25"/>
        <v>86888.375322317181</v>
      </c>
      <c r="AC92">
        <f>AB92*D92*10000*VLOOKUP(A92,[1]kcal!$A$2:$C$49,3,FALSE)/1000000000000</f>
        <v>0</v>
      </c>
    </row>
    <row r="93" spans="1:29" x14ac:dyDescent="0.25">
      <c r="A93" s="171" t="str">
        <f t="shared" si="36"/>
        <v>Spildevandsslam</v>
      </c>
      <c r="B93" s="171" t="str">
        <f t="shared" si="37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21"/>
        <v>0</v>
      </c>
      <c r="E93" s="171">
        <f t="shared" si="20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3973910.9975047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2980433.248128525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6"/>
        <v>993477.74937617499</v>
      </c>
      <c r="P93" s="94">
        <f t="shared" si="22"/>
        <v>993477.74937617499</v>
      </c>
      <c r="Q93" s="180">
        <f t="shared" si="27"/>
        <v>2980433.248128525</v>
      </c>
      <c r="R93">
        <f>IFERROR(VLOOKUP(A93,[1]Energiindhold!$A$2:$C$11,3,FALSE),IFERROR(VLOOKUP(A93,[1]Biogasudbytte!$A$2:$B$18,2,FALSE)*[1]Energiindhold!$C$10,0))*P93</f>
        <v>0.49575533171620517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1.9830213268648207</v>
      </c>
      <c r="T93">
        <f>IFERROR(VLOOKUP(A93,[1]Biogasudbytte!$A$2:$B$18,2,FALSE)*[1]Energiindhold!$C$10,0)*K93*IFERROR(VLOOKUP(A93,Biogasanlæg!$F$3:$G$8,2,FALSE),1)</f>
        <v>1.4872659951486156</v>
      </c>
      <c r="U93" s="170">
        <f t="shared" si="28"/>
        <v>0.49575533171620512</v>
      </c>
      <c r="V93" s="169">
        <f>P93*IFERROR(VLOOKUP(A93,[1]Tørstofindhold!A$2:B$24,2,FALSE),0)</f>
        <v>59608.664962570496</v>
      </c>
      <c r="W93">
        <f>IF(E93=År1,Q93,SUM(P93,Q93))*IFERROR(VLOOKUP(A93,[1]Tørstofindhold!A$2:B$24,2,FALSE),0)</f>
        <v>238434.65985028198</v>
      </c>
      <c r="X93">
        <f>K93*IFERROR(VLOOKUP(A93,[1]Tørstofindhold!A$2:B$24,2,FALSE),0)</f>
        <v>178825.99488771148</v>
      </c>
      <c r="Y93" s="170">
        <f t="shared" si="29"/>
        <v>59608.664962570503</v>
      </c>
      <c r="Z93">
        <f t="shared" si="23"/>
        <v>0</v>
      </c>
      <c r="AA93">
        <f t="shared" si="24"/>
        <v>1</v>
      </c>
      <c r="AB93" s="94">
        <f t="shared" si="25"/>
        <v>993477.74937617499</v>
      </c>
      <c r="AC93">
        <f>AB93*D93*10000*VLOOKUP(A93,[1]kcal!$A$2:$C$49,3,FALSE)/1000000000000</f>
        <v>0</v>
      </c>
    </row>
    <row r="94" spans="1:29" x14ac:dyDescent="0.25">
      <c r="A94" s="171" t="str">
        <f t="shared" si="36"/>
        <v>Svinegylle</v>
      </c>
      <c r="B94" s="171" t="str">
        <f t="shared" si="37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21"/>
        <v>0</v>
      </c>
      <c r="E94" s="171">
        <f t="shared" si="20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14539919.740607873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10904939.805455904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3634979.9351519686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6"/>
        <v>0</v>
      </c>
      <c r="P94" s="94">
        <f t="shared" si="22"/>
        <v>0</v>
      </c>
      <c r="Q94" s="180">
        <f t="shared" si="27"/>
        <v>10904939.805455904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4.697848068190404</v>
      </c>
      <c r="T94">
        <f>IFERROR(VLOOKUP(A94,[1]Biogasudbytte!$A$2:$B$18,2,FALSE)*[1]Energiindhold!$C$10,0)*K94*IFERROR(VLOOKUP(A94,Biogasanlæg!$F$3:$G$8,2,FALSE),1)</f>
        <v>4.697848068190404</v>
      </c>
      <c r="U94" s="170">
        <f t="shared" si="28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545246.9902727952</v>
      </c>
      <c r="X94">
        <f>K94*IFERROR(VLOOKUP(A94,[1]Tørstofindhold!A$2:B$24,2,FALSE),0)</f>
        <v>545246.9902727952</v>
      </c>
      <c r="Y94" s="170">
        <f t="shared" si="29"/>
        <v>0</v>
      </c>
      <c r="Z94">
        <f t="shared" si="23"/>
        <v>0</v>
      </c>
      <c r="AA94">
        <f t="shared" si="24"/>
        <v>0</v>
      </c>
      <c r="AB94" s="94">
        <f t="shared" si="25"/>
        <v>0</v>
      </c>
      <c r="AC94">
        <f>AB94*D94*10000*VLOOKUP(A94,[1]kcal!$A$2:$C$49,3,FALSE)/1000000000000</f>
        <v>0</v>
      </c>
    </row>
    <row r="95" spans="1:29" x14ac:dyDescent="0.25">
      <c r="A95" s="171" t="str">
        <f t="shared" si="36"/>
        <v>Svinekød</v>
      </c>
      <c r="B95" s="171" t="str">
        <f t="shared" si="37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21"/>
        <v>1</v>
      </c>
      <c r="E95" s="171">
        <f t="shared" si="20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1329115.7893830882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6"/>
        <v>1207240.2453344078</v>
      </c>
      <c r="P95" s="94">
        <f t="shared" si="22"/>
        <v>0</v>
      </c>
      <c r="Q95" s="180">
        <f t="shared" si="27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8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9"/>
        <v>0</v>
      </c>
      <c r="Z95">
        <f t="shared" si="23"/>
        <v>0</v>
      </c>
      <c r="AA95">
        <f t="shared" si="24"/>
        <v>1</v>
      </c>
      <c r="AB95" s="94">
        <f t="shared" si="25"/>
        <v>1329115.7893830882</v>
      </c>
      <c r="AC95">
        <f>AB95*D95*10000*VLOOKUP(A95,[1]kcal!$A$2:$C$49,3,FALSE)/1000000000000</f>
        <v>2.5917757892970221</v>
      </c>
    </row>
    <row r="96" spans="1:29" x14ac:dyDescent="0.25">
      <c r="A96" s="171" t="str">
        <f t="shared" si="36"/>
        <v>Tang</v>
      </c>
      <c r="B96" s="171" t="str">
        <f t="shared" si="37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21"/>
        <v>1</v>
      </c>
      <c r="E96" s="171">
        <f t="shared" si="20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382.5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6"/>
        <v>382.5</v>
      </c>
      <c r="P96" s="94">
        <f t="shared" si="22"/>
        <v>382.5</v>
      </c>
      <c r="Q96" s="180">
        <f t="shared" si="27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8"/>
        <v>3.4329375000000003E-4</v>
      </c>
      <c r="V96" s="169">
        <f>P96*IFERROR(VLOOKUP(A96,[1]Tørstofindhold!A$2:B$24,2,FALSE),0)</f>
        <v>57.375</v>
      </c>
      <c r="W96">
        <f>IF(E96=År1,Q96,SUM(P96,Q96))*IFERROR(VLOOKUP(A96,[1]Tørstofindhold!A$2:B$24,2,FALSE),0)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9"/>
        <v>57.375</v>
      </c>
      <c r="Z96">
        <f t="shared" si="23"/>
        <v>0</v>
      </c>
      <c r="AA96">
        <f t="shared" si="24"/>
        <v>1</v>
      </c>
      <c r="AB96" s="94">
        <f t="shared" si="25"/>
        <v>382.5</v>
      </c>
      <c r="AC96">
        <f>AB96*D96*10000*VLOOKUP(A96,[1]kcal!$A$2:$C$49,3,FALSE)/1000000000000</f>
        <v>1.5605999999999999E-4</v>
      </c>
    </row>
    <row r="97" spans="1:29" x14ac:dyDescent="0.25">
      <c r="A97" s="171" t="str">
        <f t="shared" si="36"/>
        <v>Total til biogas</v>
      </c>
      <c r="B97" s="171" t="str">
        <f t="shared" si="37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21"/>
        <v>0</v>
      </c>
      <c r="E97" s="171">
        <f t="shared" si="20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6"/>
        <v>0</v>
      </c>
      <c r="P97" s="94">
        <f t="shared" si="22"/>
        <v>0</v>
      </c>
      <c r="Q97" s="180">
        <f t="shared" si="27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8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9"/>
        <v>0</v>
      </c>
      <c r="Z97">
        <f t="shared" si="23"/>
        <v>0</v>
      </c>
      <c r="AA97">
        <f t="shared" si="24"/>
        <v>0</v>
      </c>
      <c r="AB97" s="94">
        <f t="shared" si="25"/>
        <v>0</v>
      </c>
      <c r="AC97">
        <f>AB97*D97*10000*VLOOKUP(A97,[1]kcal!$A$2:$C$49,3,FALSE)/1000000000000</f>
        <v>0</v>
      </c>
    </row>
    <row r="98" spans="1:29" x14ac:dyDescent="0.25">
      <c r="A98" s="171" t="str">
        <f t="shared" si="36"/>
        <v>Træ til energi</v>
      </c>
      <c r="B98" s="171" t="str">
        <f t="shared" si="37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21"/>
        <v>0</v>
      </c>
      <c r="E98" s="171">
        <f t="shared" si="20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2217144.8993992088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2217144.8993992088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6"/>
        <v>0</v>
      </c>
      <c r="P98" s="94">
        <f t="shared" ca="1" si="22"/>
        <v>0</v>
      </c>
      <c r="Q98" s="180">
        <f t="shared" ca="1" si="27"/>
        <v>2217144.8993992088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32.134342362444997</v>
      </c>
      <c r="T98">
        <f>IFERROR(VLOOKUP(A98,[1]Biogasudbytte!$A$2:$B$18,2,FALSE)*[1]Energiindhold!$C$10,0)*K98*IFERROR(VLOOKUP(A98,Biogasanlæg!$F$3:$G$8,2,FALSE),1)</f>
        <v>0</v>
      </c>
      <c r="U98" s="170">
        <f t="shared" ca="1" si="28"/>
        <v>32.134342362444997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1096562.9148278586</v>
      </c>
      <c r="X98">
        <f>K98*IFERROR(VLOOKUP(A98,[1]Tørstofindhold!A$2:B$24,2,FALSE),0)</f>
        <v>0</v>
      </c>
      <c r="Y98" s="170">
        <f t="shared" ca="1" si="29"/>
        <v>1096562.9148278586</v>
      </c>
      <c r="Z98">
        <f t="shared" ca="1" si="23"/>
        <v>0</v>
      </c>
      <c r="AA98">
        <f t="shared" ca="1" si="24"/>
        <v>0</v>
      </c>
      <c r="AB98" s="94">
        <f t="shared" ca="1" si="25"/>
        <v>2217144.8993992088</v>
      </c>
      <c r="AC98">
        <f ca="1">AB98*D98*10000*VLOOKUP(A98,[1]kcal!$A$2:$C$49,3,FALSE)/1000000000000</f>
        <v>0</v>
      </c>
    </row>
    <row r="99" spans="1:29" x14ac:dyDescent="0.25">
      <c r="A99" s="171" t="str">
        <f t="shared" si="36"/>
        <v>Træmaterialer</v>
      </c>
      <c r="B99" s="171" t="str">
        <f t="shared" si="37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21"/>
        <v>0</v>
      </c>
      <c r="E99" s="171">
        <f t="shared" si="20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610444.4261939266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610444.4261939266</v>
      </c>
      <c r="O99" s="179">
        <f t="shared" ca="1" si="26"/>
        <v>0</v>
      </c>
      <c r="P99" s="94">
        <f t="shared" si="22"/>
        <v>0</v>
      </c>
      <c r="Q99" s="180">
        <f t="shared" si="27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8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9"/>
        <v>0</v>
      </c>
      <c r="Z99">
        <f t="shared" ca="1" si="23"/>
        <v>0</v>
      </c>
      <c r="AA99">
        <f t="shared" ca="1" si="24"/>
        <v>0</v>
      </c>
      <c r="AB99" s="94">
        <f t="shared" ca="1" si="25"/>
        <v>610444.4261939266</v>
      </c>
      <c r="AC99">
        <f ca="1">AB99*D99*10000*VLOOKUP(A99,[1]kcal!$A$2:$C$49,3,FALSE)/1000000000000</f>
        <v>0</v>
      </c>
    </row>
    <row r="100" spans="1:29" x14ac:dyDescent="0.25">
      <c r="A100" s="171" t="str">
        <f t="shared" si="36"/>
        <v>Æg</v>
      </c>
      <c r="B100" s="171" t="str">
        <f t="shared" si="37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21"/>
        <v>1</v>
      </c>
      <c r="E100" s="171">
        <f t="shared" ref="E100:E147" si="38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208223.23899291924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6"/>
        <v>174373.27010647443</v>
      </c>
      <c r="P100" s="94">
        <f t="shared" si="22"/>
        <v>0</v>
      </c>
      <c r="Q100" s="180">
        <f t="shared" si="27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8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9"/>
        <v>0</v>
      </c>
      <c r="Z100">
        <f t="shared" si="23"/>
        <v>0</v>
      </c>
      <c r="AA100">
        <f t="shared" si="24"/>
        <v>1</v>
      </c>
      <c r="AB100" s="94">
        <f t="shared" si="25"/>
        <v>208223.23899291924</v>
      </c>
      <c r="AC100">
        <f>AB100*D100*10000*VLOOKUP(A100,[1]kcal!$A$2:$C$49,3,FALSE)/1000000000000</f>
        <v>0.28734806981022859</v>
      </c>
    </row>
    <row r="101" spans="1:29" x14ac:dyDescent="0.25">
      <c r="A101" s="171" t="str">
        <f t="shared" si="36"/>
        <v>Bælgsæd</v>
      </c>
      <c r="B101" s="171" t="str">
        <f t="shared" si="37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21"/>
        <v>1</v>
      </c>
      <c r="E101" s="171">
        <f t="shared" si="38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250215.04217969507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60017.752814183521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6"/>
        <v>190197.28936551156</v>
      </c>
      <c r="P101" s="94">
        <f t="shared" si="22"/>
        <v>0</v>
      </c>
      <c r="Q101" s="180">
        <f t="shared" si="27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8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9"/>
        <v>0</v>
      </c>
      <c r="Z101">
        <f t="shared" si="23"/>
        <v>0</v>
      </c>
      <c r="AA101">
        <f t="shared" si="24"/>
        <v>1</v>
      </c>
      <c r="AB101" s="94">
        <f t="shared" si="25"/>
        <v>190197.28936551156</v>
      </c>
      <c r="AC101">
        <f>AB101*D101*10000*VLOOKUP(A101,[1]kcal!$A$2:$C$49,3,FALSE)/1000000000000</f>
        <v>1.3209201746434778</v>
      </c>
    </row>
    <row r="102" spans="1:29" x14ac:dyDescent="0.25">
      <c r="A102" s="171" t="str">
        <f t="shared" si="36"/>
        <v>Bioaffald</v>
      </c>
      <c r="B102" s="171" t="str">
        <f t="shared" si="37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21"/>
        <v>0</v>
      </c>
      <c r="E102" s="171">
        <f t="shared" si="38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6"/>
        <v>0</v>
      </c>
      <c r="P102" s="94">
        <f t="shared" ca="1" si="22"/>
        <v>0</v>
      </c>
      <c r="Q102" s="180">
        <f t="shared" ca="1" si="27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8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9"/>
        <v>55295.557743957776</v>
      </c>
      <c r="Z102">
        <f t="shared" ca="1" si="23"/>
        <v>0</v>
      </c>
      <c r="AA102">
        <f t="shared" ca="1" si="24"/>
        <v>0</v>
      </c>
      <c r="AB102" s="94">
        <f t="shared" ca="1" si="25"/>
        <v>197484.13479984918</v>
      </c>
      <c r="AC102">
        <f ca="1">AB102*D102*10000*VLOOKUP(A102,[1]kcal!$A$2:$C$49,3,FALSE)/1000000000000</f>
        <v>0</v>
      </c>
    </row>
    <row r="103" spans="1:29" x14ac:dyDescent="0.25">
      <c r="A103" s="171" t="str">
        <f t="shared" si="36"/>
        <v>Biogas</v>
      </c>
      <c r="B103" s="171" t="str">
        <f t="shared" si="37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21"/>
        <v>0</v>
      </c>
      <c r="E103" s="171">
        <f t="shared" si="38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563663167.57084477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563663167.57084477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6"/>
        <v>0</v>
      </c>
      <c r="P103" s="94">
        <f t="shared" ca="1" si="22"/>
        <v>0</v>
      </c>
      <c r="Q103" s="180">
        <f t="shared" ca="1" si="27"/>
        <v>563663167.57084477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8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9"/>
        <v>0</v>
      </c>
      <c r="Z103">
        <f t="shared" ca="1" si="23"/>
        <v>0</v>
      </c>
      <c r="AA103">
        <f t="shared" ca="1" si="24"/>
        <v>0</v>
      </c>
      <c r="AB103" s="94">
        <f t="shared" ca="1" si="25"/>
        <v>563663167.57084477</v>
      </c>
      <c r="AC103">
        <f ca="1">AB103*D103*10000*VLOOKUP(A103,[1]kcal!$A$2:$C$49,3,FALSE)/1000000000000</f>
        <v>0</v>
      </c>
    </row>
    <row r="104" spans="1:29" x14ac:dyDescent="0.25">
      <c r="A104" s="171" t="str">
        <f t="shared" si="36"/>
        <v>Biogasgylle</v>
      </c>
      <c r="B104" s="171" t="str">
        <f t="shared" si="37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21"/>
        <v>0</v>
      </c>
      <c r="E104" s="171">
        <f t="shared" si="38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27386289.783254456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21610883.072868608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6"/>
        <v>5775406.7103858478</v>
      </c>
      <c r="P104" s="94">
        <f t="shared" si="22"/>
        <v>0</v>
      </c>
      <c r="Q104" s="180">
        <f t="shared" si="27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8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9"/>
        <v>0</v>
      </c>
      <c r="Z104">
        <f t="shared" ca="1" si="23"/>
        <v>0</v>
      </c>
      <c r="AA104">
        <f t="shared" ca="1" si="24"/>
        <v>1</v>
      </c>
      <c r="AB104" s="94">
        <f t="shared" ca="1" si="25"/>
        <v>5775406.7103858478</v>
      </c>
      <c r="AC104">
        <f ca="1">AB104*D104*10000*VLOOKUP(A104,[1]kcal!$A$2:$C$49,3,FALSE)/1000000000000</f>
        <v>0</v>
      </c>
    </row>
    <row r="105" spans="1:29" x14ac:dyDescent="0.25">
      <c r="A105" s="171" t="str">
        <f t="shared" si="36"/>
        <v>Brun saft</v>
      </c>
      <c r="B105" s="171" t="str">
        <f t="shared" si="37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21"/>
        <v>0</v>
      </c>
      <c r="E105" s="171">
        <f t="shared" si="38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0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0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6"/>
        <v>0</v>
      </c>
      <c r="P105" s="94">
        <f t="shared" si="22"/>
        <v>0</v>
      </c>
      <c r="Q105" s="180">
        <f t="shared" si="27"/>
        <v>0</v>
      </c>
      <c r="R105">
        <f>IFERROR(VLOOKUP(A105,[1]Energiindhold!$A$2:$C$11,3,FALSE),IFERROR(VLOOKUP(A105,[1]Biogasudbytte!$A$2:$B$18,2,FALSE)*[1]Energiindhold!$C$10,0))*P105</f>
        <v>0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0</v>
      </c>
      <c r="T105">
        <f>IFERROR(VLOOKUP(A105,[1]Biogasudbytte!$A$2:$B$18,2,FALSE)*[1]Energiindhold!$C$10,0)*K105*IFERROR(VLOOKUP(A105,Biogasanlæg!$F$3:$G$8,2,FALSE),1)</f>
        <v>0</v>
      </c>
      <c r="U105" s="170">
        <f t="shared" si="28"/>
        <v>0</v>
      </c>
      <c r="V105" s="169">
        <f>P105*IFERROR(VLOOKUP(A105,[1]Tørstofindhold!A$2:B$24,2,FALSE),0)</f>
        <v>0</v>
      </c>
      <c r="W105">
        <f>IF(E105=År1,Q105,SUM(P105,Q105))*IFERROR(VLOOKUP(A105,[1]Tørstofindhold!A$2:B$24,2,FALSE),0)</f>
        <v>0</v>
      </c>
      <c r="X105">
        <f>K105*IFERROR(VLOOKUP(A105,[1]Tørstofindhold!A$2:B$24,2,FALSE),0)</f>
        <v>0</v>
      </c>
      <c r="Y105" s="170">
        <f t="shared" si="29"/>
        <v>0</v>
      </c>
      <c r="Z105">
        <f t="shared" si="23"/>
        <v>0</v>
      </c>
      <c r="AA105">
        <f t="shared" si="24"/>
        <v>0</v>
      </c>
      <c r="AB105" s="94">
        <f t="shared" si="25"/>
        <v>0</v>
      </c>
      <c r="AC105">
        <f>AB105*D105*10000*VLOOKUP(A105,[1]kcal!$A$2:$C$49,3,FALSE)/1000000000000</f>
        <v>0</v>
      </c>
    </row>
    <row r="106" spans="1:29" x14ac:dyDescent="0.25">
      <c r="A106" s="171" t="str">
        <f t="shared" si="36"/>
        <v>Dybstrøelse</v>
      </c>
      <c r="B106" s="171" t="str">
        <f t="shared" si="37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21"/>
        <v>0</v>
      </c>
      <c r="E106" s="171">
        <f t="shared" si="38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2537079.9796545585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2283371.9816891025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96046.599229779691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6"/>
        <v>157661.39873567643</v>
      </c>
      <c r="P106" s="94">
        <f t="shared" si="22"/>
        <v>157661.39873567643</v>
      </c>
      <c r="Q106" s="180">
        <f t="shared" si="27"/>
        <v>2283371.9816891025</v>
      </c>
      <c r="R106">
        <f>IFERROR(VLOOKUP(A106,[1]Energiindhold!$A$2:$C$11,3,FALSE),IFERROR(VLOOKUP(A106,[1]Biogasudbytte!$A$2:$B$18,2,FALSE)*[1]Energiindhold!$C$10,0))*P106</f>
        <v>0.33960265287664704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5.2579859014349744</v>
      </c>
      <c r="T106">
        <f>IFERROR(VLOOKUP(A106,[1]Biogasudbytte!$A$2:$B$18,2,FALSE)*[1]Energiindhold!$C$10,0)*K106*IFERROR(VLOOKUP(A106,Biogasanlæg!$F$3:$G$8,2,FALSE),1)</f>
        <v>4.9183832485583272</v>
      </c>
      <c r="U106" s="170">
        <f t="shared" si="28"/>
        <v>0.33960265287664715</v>
      </c>
      <c r="V106" s="169">
        <f>P106*IFERROR(VLOOKUP(A106,[1]Tørstofindhold!A$2:B$24,2,FALSE),0)</f>
        <v>47298.419620702924</v>
      </c>
      <c r="W106">
        <f>IF(E106=År1,Q106,SUM(P106,Q106))*IFERROR(VLOOKUP(A106,[1]Tørstofindhold!A$2:B$24,2,FALSE),0)</f>
        <v>732310.01412743365</v>
      </c>
      <c r="X106">
        <f>K106*IFERROR(VLOOKUP(A106,[1]Tørstofindhold!A$2:B$24,2,FALSE),0)</f>
        <v>685011.59450673067</v>
      </c>
      <c r="Y106" s="170">
        <f t="shared" si="29"/>
        <v>47298.419620702974</v>
      </c>
      <c r="Z106">
        <f t="shared" si="23"/>
        <v>0</v>
      </c>
      <c r="AA106">
        <f t="shared" si="24"/>
        <v>1</v>
      </c>
      <c r="AB106" s="94">
        <f t="shared" si="25"/>
        <v>157661.39873567643</v>
      </c>
      <c r="AC106">
        <f>AB106*D106*10000*VLOOKUP(A106,[1]kcal!$A$2:$C$49,3,FALSE)/1000000000000</f>
        <v>0</v>
      </c>
    </row>
    <row r="107" spans="1:29" x14ac:dyDescent="0.25">
      <c r="A107" s="171" t="str">
        <f t="shared" si="36"/>
        <v>Fiberfraktion</v>
      </c>
      <c r="B107" s="171" t="str">
        <f t="shared" si="37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21"/>
        <v>0</v>
      </c>
      <c r="E107" s="171">
        <f t="shared" si="38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0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0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6"/>
        <v>0</v>
      </c>
      <c r="P107" s="94">
        <f t="shared" si="22"/>
        <v>0</v>
      </c>
      <c r="Q107" s="180">
        <f t="shared" si="27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8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9"/>
        <v>0</v>
      </c>
      <c r="Z107">
        <f t="shared" si="23"/>
        <v>0</v>
      </c>
      <c r="AA107">
        <f t="shared" si="24"/>
        <v>0</v>
      </c>
      <c r="AB107" s="94">
        <f t="shared" si="25"/>
        <v>0</v>
      </c>
      <c r="AC107">
        <f>AB107*D107*10000*VLOOKUP(A107,[1]kcal!$A$2:$C$49,3,FALSE)/1000000000000</f>
        <v>0</v>
      </c>
    </row>
    <row r="108" spans="1:29" x14ac:dyDescent="0.25">
      <c r="A108" s="171" t="str">
        <f t="shared" si="36"/>
        <v>Fjerkrægylle</v>
      </c>
      <c r="B108" s="171" t="str">
        <f t="shared" si="37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21"/>
        <v>0</v>
      </c>
      <c r="E108" s="171">
        <f t="shared" si="38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8615.5317224824212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7753.9785502341792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861.55317224824194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6"/>
        <v>0</v>
      </c>
      <c r="P108" s="94">
        <f t="shared" si="22"/>
        <v>0</v>
      </c>
      <c r="Q108" s="180">
        <f t="shared" si="27"/>
        <v>7753.9785502341792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3.6466185723896321E-3</v>
      </c>
      <c r="T108">
        <f>IFERROR(VLOOKUP(A108,[1]Biogasudbytte!$A$2:$B$18,2,FALSE)*[1]Energiindhold!$C$10,0)*K108*IFERROR(VLOOKUP(A108,Biogasanlæg!$F$3:$G$8,2,FALSE),1)</f>
        <v>3.6466185723896321E-3</v>
      </c>
      <c r="U108" s="170">
        <f t="shared" si="28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488.50064866475327</v>
      </c>
      <c r="X108">
        <f>K108*IFERROR(VLOOKUP(A108,[1]Tørstofindhold!A$2:B$24,2,FALSE),0)</f>
        <v>488.50064866475327</v>
      </c>
      <c r="Y108" s="170">
        <f t="shared" si="29"/>
        <v>0</v>
      </c>
      <c r="Z108">
        <f t="shared" si="23"/>
        <v>0</v>
      </c>
      <c r="AA108">
        <f t="shared" si="24"/>
        <v>0</v>
      </c>
      <c r="AB108" s="94">
        <f t="shared" si="25"/>
        <v>0</v>
      </c>
      <c r="AC108">
        <f>AB108*D108*10000*VLOOKUP(A108,[1]kcal!$A$2:$C$49,3,FALSE)/1000000000000</f>
        <v>0</v>
      </c>
    </row>
    <row r="109" spans="1:29" x14ac:dyDescent="0.25">
      <c r="A109" s="171" t="str">
        <f t="shared" si="36"/>
        <v>Fjerkrækød</v>
      </c>
      <c r="B109" s="171" t="str">
        <f t="shared" si="37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21"/>
        <v>1</v>
      </c>
      <c r="E109" s="171">
        <f t="shared" si="38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173658.75124992887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6"/>
        <v>136987.951622947</v>
      </c>
      <c r="P109" s="94">
        <f t="shared" si="22"/>
        <v>0</v>
      </c>
      <c r="Q109" s="180">
        <f t="shared" si="27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8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9"/>
        <v>0</v>
      </c>
      <c r="Z109">
        <f t="shared" si="23"/>
        <v>0</v>
      </c>
      <c r="AA109">
        <f t="shared" si="24"/>
        <v>1</v>
      </c>
      <c r="AB109" s="94">
        <f t="shared" si="25"/>
        <v>173658.75124992887</v>
      </c>
      <c r="AC109">
        <f>AB109*D109*10000*VLOOKUP(A109,[1]kcal!$A$2:$C$49,3,FALSE)/1000000000000</f>
        <v>0.26396130189989192</v>
      </c>
    </row>
    <row r="110" spans="1:29" x14ac:dyDescent="0.25">
      <c r="A110" s="171" t="str">
        <f t="shared" si="36"/>
        <v>Frø</v>
      </c>
      <c r="B110" s="171" t="str">
        <f t="shared" si="37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21"/>
        <v>0</v>
      </c>
      <c r="E110" s="171">
        <f t="shared" si="38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813451.18685438076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6"/>
        <v>813451.18685438076</v>
      </c>
      <c r="P110" s="94">
        <f t="shared" si="22"/>
        <v>0</v>
      </c>
      <c r="Q110" s="180">
        <f t="shared" si="27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8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9"/>
        <v>0</v>
      </c>
      <c r="Z110">
        <f t="shared" si="23"/>
        <v>0</v>
      </c>
      <c r="AA110">
        <f t="shared" si="24"/>
        <v>1</v>
      </c>
      <c r="AB110" s="94">
        <f t="shared" si="25"/>
        <v>813451.18685438076</v>
      </c>
      <c r="AC110">
        <f>AB110*D110*10000*VLOOKUP(A110,[1]kcal!$A$2:$C$49,3,FALSE)/1000000000000</f>
        <v>0</v>
      </c>
    </row>
    <row r="111" spans="1:29" x14ac:dyDescent="0.25">
      <c r="A111" s="171" t="str">
        <f t="shared" si="36"/>
        <v>Frugt</v>
      </c>
      <c r="B111" s="171" t="str">
        <f t="shared" si="37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21"/>
        <v>1</v>
      </c>
      <c r="E111" s="171">
        <f t="shared" si="38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24926.840286441191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6"/>
        <v>-243052.08006458025</v>
      </c>
      <c r="P111" s="94">
        <f t="shared" si="22"/>
        <v>0</v>
      </c>
      <c r="Q111" s="180">
        <f t="shared" si="27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8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9"/>
        <v>0</v>
      </c>
      <c r="Z111">
        <f t="shared" si="23"/>
        <v>1</v>
      </c>
      <c r="AA111">
        <f t="shared" si="24"/>
        <v>0</v>
      </c>
      <c r="AB111" s="94">
        <f t="shared" si="25"/>
        <v>24926.840286441191</v>
      </c>
      <c r="AC111">
        <f>AB111*D111*10000*VLOOKUP(A111,[1]kcal!$A$2:$C$49,3,FALSE)/1000000000000</f>
        <v>1.2961956948949419E-2</v>
      </c>
    </row>
    <row r="112" spans="1:29" x14ac:dyDescent="0.25">
      <c r="A112" s="171" t="str">
        <f t="shared" si="36"/>
        <v>Glycerin</v>
      </c>
      <c r="B112" s="171" t="str">
        <f t="shared" si="37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21"/>
        <v>0</v>
      </c>
      <c r="E112" s="171">
        <f t="shared" si="38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114193.60000000001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6"/>
        <v>-114193.60000000001</v>
      </c>
      <c r="P112" s="94">
        <f t="shared" si="22"/>
        <v>0</v>
      </c>
      <c r="Q112" s="180">
        <f t="shared" si="27"/>
        <v>114193.60000000001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1.7355855896064003</v>
      </c>
      <c r="T112">
        <f>IFERROR(VLOOKUP(A112,[1]Biogasudbytte!$A$2:$B$18,2,FALSE)*[1]Energiindhold!$C$10,0)*K112*IFERROR(VLOOKUP(A112,Biogasanlæg!$F$3:$G$8,2,FALSE),1)</f>
        <v>1.7355855896064003</v>
      </c>
      <c r="U112" s="170">
        <f t="shared" si="28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102774.24</v>
      </c>
      <c r="X112">
        <f>K112*IFERROR(VLOOKUP(A112,[1]Tørstofindhold!A$2:B$24,2,FALSE),0)</f>
        <v>102774.24</v>
      </c>
      <c r="Y112" s="170">
        <f t="shared" si="29"/>
        <v>0</v>
      </c>
      <c r="Z112">
        <f t="shared" si="23"/>
        <v>1</v>
      </c>
      <c r="AA112">
        <f t="shared" si="24"/>
        <v>0</v>
      </c>
      <c r="AB112" s="94">
        <f t="shared" si="25"/>
        <v>-114193.60000000001</v>
      </c>
      <c r="AC112">
        <f>AB112*D112*10000*VLOOKUP(A112,[1]kcal!$A$2:$C$49,3,FALSE)/1000000000000</f>
        <v>0</v>
      </c>
    </row>
    <row r="113" spans="1:29" x14ac:dyDescent="0.25">
      <c r="A113" s="171" t="str">
        <f t="shared" si="36"/>
        <v>Græs</v>
      </c>
      <c r="B113" s="171" t="str">
        <f t="shared" si="37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21"/>
        <v>0</v>
      </c>
      <c r="E113" s="171">
        <f t="shared" si="38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13682245.34995167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11387535.016591122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0</v>
      </c>
      <c r="O113" s="179">
        <f t="shared" si="26"/>
        <v>2294710.3333605472</v>
      </c>
      <c r="P113" s="94">
        <f t="shared" si="22"/>
        <v>2294710.3333605472</v>
      </c>
      <c r="Q113" s="180">
        <f t="shared" si="27"/>
        <v>0</v>
      </c>
      <c r="R113">
        <f>IFERROR(VLOOKUP(A113,[1]Energiindhold!$A$2:$C$11,3,FALSE),IFERROR(VLOOKUP(A113,[1]Biogasudbytte!$A$2:$B$18,2,FALSE)*[1]Energiindhold!$C$10,0))*P113</f>
        <v>4.2219801745917369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4.2219801745917369</v>
      </c>
      <c r="T113">
        <f>IFERROR(VLOOKUP(A113,[1]Biogasudbytte!$A$2:$B$18,2,FALSE)*[1]Energiindhold!$C$10,0)*K113*IFERROR(VLOOKUP(A113,Biogasanlæg!$F$3:$G$8,2,FALSE),1)</f>
        <v>0</v>
      </c>
      <c r="U113" s="170">
        <f t="shared" si="28"/>
        <v>4.2219801745917369</v>
      </c>
      <c r="V113" s="169">
        <f>P113*IFERROR(VLOOKUP(A113,[1]Tørstofindhold!A$2:B$24,2,FALSE),0)</f>
        <v>642518.89334095328</v>
      </c>
      <c r="W113">
        <f>IF(E113=År1,Q113,SUM(P113,Q113))*IFERROR(VLOOKUP(A113,[1]Tørstofindhold!A$2:B$24,2,FALSE),0)</f>
        <v>642518.89334095328</v>
      </c>
      <c r="X113">
        <f>K113*IFERROR(VLOOKUP(A113,[1]Tørstofindhold!A$2:B$24,2,FALSE),0)</f>
        <v>0</v>
      </c>
      <c r="Y113" s="170">
        <f t="shared" si="29"/>
        <v>642518.89334095328</v>
      </c>
      <c r="Z113">
        <f t="shared" si="23"/>
        <v>0</v>
      </c>
      <c r="AA113">
        <f t="shared" si="24"/>
        <v>1</v>
      </c>
      <c r="AB113" s="94">
        <f t="shared" si="25"/>
        <v>2294710.3333605472</v>
      </c>
      <c r="AC113">
        <f>AB113*D113*10000*VLOOKUP(A113,[1]kcal!$A$2:$C$49,3,FALSE)/1000000000000</f>
        <v>0</v>
      </c>
    </row>
    <row r="114" spans="1:29" x14ac:dyDescent="0.25">
      <c r="A114" s="171" t="str">
        <f t="shared" si="36"/>
        <v>Græsprotein</v>
      </c>
      <c r="B114" s="171" t="str">
        <f t="shared" si="37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21"/>
        <v>0</v>
      </c>
      <c r="E114" s="171">
        <f t="shared" si="38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0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0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6"/>
        <v>0</v>
      </c>
      <c r="P114" s="94">
        <f t="shared" si="22"/>
        <v>0</v>
      </c>
      <c r="Q114" s="180">
        <f t="shared" si="27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8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9"/>
        <v>0</v>
      </c>
      <c r="Z114">
        <f t="shared" si="23"/>
        <v>0</v>
      </c>
      <c r="AA114">
        <f t="shared" si="24"/>
        <v>0</v>
      </c>
      <c r="AB114" s="94">
        <f t="shared" si="25"/>
        <v>0</v>
      </c>
      <c r="AC114">
        <f>AB114*D114*10000*VLOOKUP(A114,[1]kcal!$A$2:$C$49,3,FALSE)/1000000000000</f>
        <v>0</v>
      </c>
    </row>
    <row r="115" spans="1:29" x14ac:dyDescent="0.25">
      <c r="A115" s="171" t="str">
        <f t="shared" si="36"/>
        <v>Grøntsager</v>
      </c>
      <c r="B115" s="171" t="str">
        <f t="shared" si="37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21"/>
        <v>1</v>
      </c>
      <c r="E115" s="171">
        <f t="shared" si="38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182765.86123576926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6"/>
        <v>-97906.797447669</v>
      </c>
      <c r="P115" s="94">
        <f t="shared" si="22"/>
        <v>0</v>
      </c>
      <c r="Q115" s="180">
        <f t="shared" si="27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8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9"/>
        <v>0</v>
      </c>
      <c r="Z115">
        <f t="shared" si="23"/>
        <v>1</v>
      </c>
      <c r="AA115">
        <f t="shared" si="24"/>
        <v>0</v>
      </c>
      <c r="AB115" s="94">
        <f t="shared" si="25"/>
        <v>182765.86123576926</v>
      </c>
      <c r="AC115">
        <f>AB115*D115*10000*VLOOKUP(A115,[1]kcal!$A$2:$C$49,3,FALSE)/1000000000000</f>
        <v>7.1278685881950007E-2</v>
      </c>
    </row>
    <row r="116" spans="1:29" x14ac:dyDescent="0.25">
      <c r="A116" s="171" t="str">
        <f t="shared" si="36"/>
        <v>Halm</v>
      </c>
      <c r="B116" s="171" t="str">
        <f t="shared" si="37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21"/>
        <v>0</v>
      </c>
      <c r="E116" s="171">
        <f t="shared" si="38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3995324.8119856864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719379.45387000521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654302.91213284992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2621642.4459828315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6"/>
        <v>0</v>
      </c>
      <c r="P116" s="94">
        <f t="shared" si="22"/>
        <v>0</v>
      </c>
      <c r="Q116" s="180">
        <f t="shared" si="27"/>
        <v>2621642.4459828315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27.096788612133071</v>
      </c>
      <c r="T116">
        <f>IFERROR(VLOOKUP(A116,[1]Biogasudbytte!$A$2:$B$18,2,FALSE)*[1]Energiindhold!$C$10,0)*K116*IFERROR(VLOOKUP(A116,Biogasanlæg!$F$3:$G$8,2,FALSE),1)</f>
        <v>0</v>
      </c>
      <c r="U116" s="170">
        <f t="shared" si="28"/>
        <v>27.096788612133071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2228396.0790854068</v>
      </c>
      <c r="X116">
        <f>K116*IFERROR(VLOOKUP(A116,[1]Tørstofindhold!A$2:B$24,2,FALSE),0)</f>
        <v>0</v>
      </c>
      <c r="Y116" s="170">
        <f t="shared" si="29"/>
        <v>2228396.0790854068</v>
      </c>
      <c r="Z116">
        <f t="shared" si="23"/>
        <v>0</v>
      </c>
      <c r="AA116">
        <f t="shared" si="24"/>
        <v>0</v>
      </c>
      <c r="AB116" s="94">
        <f t="shared" si="25"/>
        <v>2621642.4459828315</v>
      </c>
      <c r="AC116">
        <f>AB116*D116*10000*VLOOKUP(A116,[1]kcal!$A$2:$C$49,3,FALSE)/1000000000000</f>
        <v>0</v>
      </c>
    </row>
    <row r="117" spans="1:29" x14ac:dyDescent="0.25">
      <c r="A117" s="171" t="str">
        <f t="shared" si="36"/>
        <v>Have/parkaffald</v>
      </c>
      <c r="B117" s="171" t="str">
        <f t="shared" si="37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39">D69</f>
        <v>0</v>
      </c>
      <c r="E117" s="171">
        <f t="shared" si="38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523381.79192356829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1500.1831158298883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6"/>
        <v>0</v>
      </c>
      <c r="P117" s="94">
        <f t="shared" si="22"/>
        <v>0</v>
      </c>
      <c r="Q117" s="180">
        <f t="shared" si="27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0.91552051921684041</v>
      </c>
      <c r="T117">
        <f>IFERROR(VLOOKUP(A117,[1]Biogasudbytte!$A$2:$B$18,2,FALSE)*[1]Energiindhold!$C$10,0)*K117*IFERROR(VLOOKUP(A117,Biogasanlæg!$F$3:$G$8,2,FALSE),1)</f>
        <v>0.88873891941165373</v>
      </c>
      <c r="U117" s="170">
        <f t="shared" si="28"/>
        <v>2.6781599805186684E-2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157014.53757707047</v>
      </c>
      <c r="Y117" s="170">
        <f t="shared" si="29"/>
        <v>450.0549347489723</v>
      </c>
      <c r="Z117">
        <f t="shared" si="23"/>
        <v>0</v>
      </c>
      <c r="AA117">
        <f t="shared" si="24"/>
        <v>0</v>
      </c>
      <c r="AB117" s="94">
        <f t="shared" si="25"/>
        <v>1500.1831158298883</v>
      </c>
      <c r="AC117">
        <f>AB117*D117*10000*VLOOKUP(A117,[1]kcal!$A$2:$C$49,3,FALSE)/1000000000000</f>
        <v>0</v>
      </c>
    </row>
    <row r="118" spans="1:29" x14ac:dyDescent="0.25">
      <c r="A118" s="171" t="str">
        <f t="shared" si="36"/>
        <v>Import af foder</v>
      </c>
      <c r="B118" s="171" t="str">
        <f t="shared" si="37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39"/>
        <v>1</v>
      </c>
      <c r="E118" s="171">
        <f t="shared" si="38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4492995.6620617937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6"/>
        <v>-4492995.6620617937</v>
      </c>
      <c r="P118" s="94">
        <f t="shared" si="22"/>
        <v>0</v>
      </c>
      <c r="Q118" s="180">
        <f t="shared" si="27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8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9"/>
        <v>0</v>
      </c>
      <c r="Z118">
        <f t="shared" si="23"/>
        <v>1</v>
      </c>
      <c r="AA118">
        <f t="shared" si="24"/>
        <v>0</v>
      </c>
      <c r="AB118" s="94">
        <f t="shared" si="25"/>
        <v>-4492995.6620617937</v>
      </c>
      <c r="AC118">
        <f>AB118*D118*10000*VLOOKUP(A118,[1]kcal!$A$2:$C$49,3,FALSE)/1000000000000</f>
        <v>-2.5610075273752222</v>
      </c>
    </row>
    <row r="119" spans="1:29" x14ac:dyDescent="0.25">
      <c r="A119" s="171" t="str">
        <f t="shared" si="36"/>
        <v>Industriaffald</v>
      </c>
      <c r="B119" s="171" t="str">
        <f t="shared" si="37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39"/>
        <v>0</v>
      </c>
      <c r="E119" s="171">
        <f t="shared" si="38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500298.07400383818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6"/>
        <v>500298.07400383818</v>
      </c>
      <c r="P119" s="94">
        <f t="shared" si="22"/>
        <v>500298.07400383818</v>
      </c>
      <c r="Q119" s="180">
        <f t="shared" si="27"/>
        <v>0</v>
      </c>
      <c r="R119">
        <f>IFERROR(VLOOKUP(A119,[1]Energiindhold!$A$2:$C$11,3,FALSE),IFERROR(VLOOKUP(A119,[1]Biogasudbytte!$A$2:$B$18,2,FALSE)*[1]Energiindhold!$C$10,0))*P119</f>
        <v>2.1678565934082514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2.1678565934082514</v>
      </c>
      <c r="T119">
        <f>IFERROR(VLOOKUP(A119,[1]Biogasudbytte!$A$2:$B$18,2,FALSE)*[1]Energiindhold!$C$10,0)*K119*IFERROR(VLOOKUP(A119,Biogasanlæg!$F$3:$G$8,2,FALSE),1)</f>
        <v>0</v>
      </c>
      <c r="U119" s="170">
        <f t="shared" si="28"/>
        <v>2.1678565934082514</v>
      </c>
      <c r="V119" s="169">
        <f>P119*IFERROR(VLOOKUP(A119,[1]Tørstofindhold!A$2:B$24,2,FALSE),0)</f>
        <v>210125.19108161202</v>
      </c>
      <c r="W119">
        <f>IF(E119=År1,Q119,SUM(P119,Q119))*IFERROR(VLOOKUP(A119,[1]Tørstofindhold!A$2:B$24,2,FALSE),0)</f>
        <v>210125.19108161202</v>
      </c>
      <c r="X119">
        <f>K119*IFERROR(VLOOKUP(A119,[1]Tørstofindhold!A$2:B$24,2,FALSE),0)</f>
        <v>0</v>
      </c>
      <c r="Y119" s="170">
        <f t="shared" si="29"/>
        <v>210125.19108161202</v>
      </c>
      <c r="Z119">
        <f t="shared" si="23"/>
        <v>0</v>
      </c>
      <c r="AA119">
        <f t="shared" si="24"/>
        <v>1</v>
      </c>
      <c r="AB119" s="94">
        <f t="shared" si="25"/>
        <v>500298.07400383818</v>
      </c>
      <c r="AC119">
        <f>AB119*D119*10000*VLOOKUP(A119,[1]kcal!$A$2:$C$49,3,FALSE)/1000000000000</f>
        <v>0</v>
      </c>
    </row>
    <row r="120" spans="1:29" x14ac:dyDescent="0.25">
      <c r="A120" s="171" t="str">
        <f t="shared" si="36"/>
        <v>Juletræer</v>
      </c>
      <c r="B120" s="171" t="str">
        <f t="shared" si="37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39"/>
        <v>0</v>
      </c>
      <c r="E120" s="171">
        <f t="shared" si="38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736287.78133601486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6"/>
        <v>736287.78133601486</v>
      </c>
      <c r="P120" s="94">
        <f t="shared" si="22"/>
        <v>0</v>
      </c>
      <c r="Q120" s="180">
        <f t="shared" si="27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8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9"/>
        <v>0</v>
      </c>
      <c r="Z120">
        <f t="shared" si="23"/>
        <v>0</v>
      </c>
      <c r="AA120">
        <f t="shared" si="24"/>
        <v>1</v>
      </c>
      <c r="AB120" s="94">
        <f t="shared" si="25"/>
        <v>736287.78133601486</v>
      </c>
      <c r="AC120">
        <f>AB120*D120*10000*VLOOKUP(A120,[1]kcal!$A$2:$C$49,3,FALSE)/1000000000000</f>
        <v>0</v>
      </c>
    </row>
    <row r="121" spans="1:29" x14ac:dyDescent="0.25">
      <c r="A121" s="171" t="str">
        <f t="shared" si="36"/>
        <v>Kartofler</v>
      </c>
      <c r="B121" s="171" t="str">
        <f t="shared" si="37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39"/>
        <v>1</v>
      </c>
      <c r="E121" s="171">
        <f t="shared" si="38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2034058.7589381256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6"/>
        <v>1905710.9602436889</v>
      </c>
      <c r="P121" s="94">
        <f t="shared" si="22"/>
        <v>0</v>
      </c>
      <c r="Q121" s="180">
        <f t="shared" si="27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8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9"/>
        <v>0</v>
      </c>
      <c r="Z121">
        <f t="shared" si="23"/>
        <v>0</v>
      </c>
      <c r="AA121">
        <f t="shared" si="24"/>
        <v>1</v>
      </c>
      <c r="AB121" s="94">
        <f t="shared" si="25"/>
        <v>2034058.7589381256</v>
      </c>
      <c r="AC121">
        <f>AB121*D121*10000*VLOOKUP(A121,[1]kcal!$A$2:$C$49,3,FALSE)/1000000000000</f>
        <v>1.5865658319717379</v>
      </c>
    </row>
    <row r="122" spans="1:29" x14ac:dyDescent="0.25">
      <c r="A122" s="171" t="str">
        <f t="shared" si="36"/>
        <v>Korn</v>
      </c>
      <c r="B122" s="171" t="str">
        <f t="shared" si="37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39"/>
        <v>1</v>
      </c>
      <c r="E122" s="171">
        <f t="shared" si="38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6657445.6000957079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5470784.8849928668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6"/>
        <v>879190.16438430082</v>
      </c>
      <c r="P122" s="94">
        <f t="shared" si="22"/>
        <v>879190.16438430082</v>
      </c>
      <c r="Q122" s="180">
        <f t="shared" si="27"/>
        <v>0</v>
      </c>
      <c r="R122">
        <f>IFERROR(VLOOKUP(A122,[1]Energiindhold!$A$2:$C$11,3,FALSE),IFERROR(VLOOKUP(A122,[1]Biogasudbytte!$A$2:$B$18,2,FALSE)*[1]Energiindhold!$C$10,0))*P122</f>
        <v>3.0111032263932169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3.0111032263932169</v>
      </c>
      <c r="T122">
        <f>IFERROR(VLOOKUP(A122,[1]Biogasudbytte!$A$2:$B$18,2,FALSE)*[1]Energiindhold!$C$10,0)*K122*IFERROR(VLOOKUP(A122,Biogasanlæg!$F$3:$G$8,2,FALSE),1)</f>
        <v>0</v>
      </c>
      <c r="U122" s="170">
        <f t="shared" si="28"/>
        <v>3.0111032263932169</v>
      </c>
      <c r="V122" s="169">
        <f>P122*IFERROR(VLOOKUP(A122,[1]Tørstofindhold!A$2:B$24,2,FALSE),0)</f>
        <v>272548.95095913328</v>
      </c>
      <c r="W122">
        <f>IF(E122=År1,Q122,SUM(P122,Q122))*IFERROR(VLOOKUP(A122,[1]Tørstofindhold!A$2:B$24,2,FALSE),0)</f>
        <v>272548.95095913328</v>
      </c>
      <c r="X122">
        <f>K122*IFERROR(VLOOKUP(A122,[1]Tørstofindhold!A$2:B$24,2,FALSE),0)</f>
        <v>0</v>
      </c>
      <c r="Y122" s="170">
        <f t="shared" si="29"/>
        <v>272548.95095913328</v>
      </c>
      <c r="Z122">
        <f t="shared" si="23"/>
        <v>0</v>
      </c>
      <c r="AA122">
        <f t="shared" si="24"/>
        <v>1</v>
      </c>
      <c r="AB122" s="94">
        <f t="shared" si="25"/>
        <v>1186660.7151028411</v>
      </c>
      <c r="AC122">
        <f>AB122*D122*10000*VLOOKUP(A122,[1]kcal!$A$2:$C$49,3,FALSE)/1000000000000</f>
        <v>4.3431782172763986</v>
      </c>
    </row>
    <row r="123" spans="1:29" x14ac:dyDescent="0.25">
      <c r="A123" s="171" t="str">
        <f t="shared" si="36"/>
        <v>Kunstgødning</v>
      </c>
      <c r="B123" s="171" t="str">
        <f t="shared" si="37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39"/>
        <v>0</v>
      </c>
      <c r="E123" s="171">
        <f t="shared" si="38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475615.83979339601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6"/>
        <v>-475615.83979339601</v>
      </c>
      <c r="P123" s="94">
        <f t="shared" si="22"/>
        <v>0</v>
      </c>
      <c r="Q123" s="180">
        <f t="shared" si="27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8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9"/>
        <v>0</v>
      </c>
      <c r="Z123">
        <f t="shared" ca="1" si="23"/>
        <v>1</v>
      </c>
      <c r="AA123">
        <f t="shared" ca="1" si="24"/>
        <v>0</v>
      </c>
      <c r="AB123" s="94">
        <f t="shared" ca="1" si="25"/>
        <v>-475615.83979339601</v>
      </c>
      <c r="AC123">
        <f ca="1">AB123*D123*10000*VLOOKUP(A123,[1]kcal!$A$2:$C$49,3,FALSE)/1000000000000</f>
        <v>0</v>
      </c>
    </row>
    <row r="124" spans="1:29" x14ac:dyDescent="0.25">
      <c r="A124" s="171" t="str">
        <f t="shared" si="36"/>
        <v>Kvæggylle</v>
      </c>
      <c r="B124" s="171" t="str">
        <f t="shared" si="37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39"/>
        <v>0</v>
      </c>
      <c r="E124" s="171">
        <f t="shared" si="38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12735406.502549823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11461865.852294842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1273540.6502549821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6"/>
        <v>0</v>
      </c>
      <c r="P124" s="94">
        <f t="shared" si="22"/>
        <v>0</v>
      </c>
      <c r="Q124" s="180">
        <f t="shared" si="27"/>
        <v>11461865.852294842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5.8018818757731268</v>
      </c>
      <c r="T124">
        <f>IFERROR(VLOOKUP(A124,[1]Biogasudbytte!$A$2:$B$18,2,FALSE)*[1]Energiindhold!$C$10,0)*K124*IFERROR(VLOOKUP(A124,Biogasanlæg!$F$3:$G$8,2,FALSE),1)</f>
        <v>5.8018818757731268</v>
      </c>
      <c r="U124" s="170">
        <f t="shared" si="28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871101.804774408</v>
      </c>
      <c r="X124">
        <f>K124*IFERROR(VLOOKUP(A124,[1]Tørstofindhold!A$2:B$24,2,FALSE),0)</f>
        <v>871101.804774408</v>
      </c>
      <c r="Y124" s="170">
        <f t="shared" si="29"/>
        <v>0</v>
      </c>
      <c r="Z124">
        <f t="shared" si="23"/>
        <v>0</v>
      </c>
      <c r="AA124">
        <f t="shared" si="24"/>
        <v>0</v>
      </c>
      <c r="AB124" s="94">
        <f t="shared" si="25"/>
        <v>0</v>
      </c>
      <c r="AC124">
        <f>AB124*D124*10000*VLOOKUP(A124,[1]kcal!$A$2:$C$49,3,FALSE)/1000000000000</f>
        <v>0</v>
      </c>
    </row>
    <row r="125" spans="1:29" x14ac:dyDescent="0.25">
      <c r="A125" s="171" t="str">
        <f t="shared" si="36"/>
        <v>Mælk til foder</v>
      </c>
      <c r="B125" s="171" t="str">
        <f t="shared" si="37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39"/>
        <v>0</v>
      </c>
      <c r="E125" s="171">
        <f t="shared" si="38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1590883.4700780637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1410417.1911333126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6"/>
        <v>180466.27894475101</v>
      </c>
      <c r="P125" s="94">
        <f t="shared" si="22"/>
        <v>0</v>
      </c>
      <c r="Q125" s="180">
        <f t="shared" si="27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8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9"/>
        <v>0</v>
      </c>
      <c r="Z125">
        <f t="shared" si="23"/>
        <v>0</v>
      </c>
      <c r="AA125">
        <f t="shared" si="24"/>
        <v>1</v>
      </c>
      <c r="AB125" s="94">
        <f t="shared" si="25"/>
        <v>180466.27894475101</v>
      </c>
      <c r="AC125">
        <f>AB125*D125*10000*VLOOKUP(A125,[1]kcal!$A$2:$C$49,3,FALSE)/1000000000000</f>
        <v>0</v>
      </c>
    </row>
    <row r="126" spans="1:29" x14ac:dyDescent="0.25">
      <c r="A126" s="171" t="str">
        <f t="shared" si="36"/>
        <v>Majs</v>
      </c>
      <c r="B126" s="171" t="str">
        <f t="shared" si="37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39"/>
        <v>1</v>
      </c>
      <c r="E126" s="171">
        <f t="shared" si="38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7480186.4136029035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5264057.0697440123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6"/>
        <v>2216129.3438588912</v>
      </c>
      <c r="P126" s="94">
        <f t="shared" si="22"/>
        <v>1964071.9525106091</v>
      </c>
      <c r="Q126" s="180">
        <f t="shared" si="27"/>
        <v>0</v>
      </c>
      <c r="R126">
        <f>IFERROR(VLOOKUP(A126,[1]Energiindhold!$A$2:$C$11,3,FALSE),IFERROR(VLOOKUP(A126,[1]Biogasudbytte!$A$2:$B$18,2,FALSE)*[1]Energiindhold!$C$10,0))*P126</f>
        <v>7.0510183095130872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7.0510183095130872</v>
      </c>
      <c r="T126">
        <f>IFERROR(VLOOKUP(A126,[1]Biogasudbytte!$A$2:$B$18,2,FALSE)*[1]Energiindhold!$C$10,0)*K126*IFERROR(VLOOKUP(A126,Biogasanlæg!$F$3:$G$8,2,FALSE),1)</f>
        <v>0</v>
      </c>
      <c r="U126" s="170">
        <f t="shared" si="28"/>
        <v>7.0510183095130872</v>
      </c>
      <c r="V126" s="169">
        <f>P126*IFERROR(VLOOKUP(A126,[1]Tørstofindhold!A$2:B$24,2,FALSE),0)</f>
        <v>589221.58575318265</v>
      </c>
      <c r="W126">
        <f>IF(E126=År1,Q126,SUM(P126,Q126))*IFERROR(VLOOKUP(A126,[1]Tørstofindhold!A$2:B$24,2,FALSE),0)</f>
        <v>589221.58575318265</v>
      </c>
      <c r="X126">
        <f>K126*IFERROR(VLOOKUP(A126,[1]Tørstofindhold!A$2:B$24,2,FALSE),0)</f>
        <v>0</v>
      </c>
      <c r="Y126" s="170">
        <f t="shared" si="29"/>
        <v>589221.58575318265</v>
      </c>
      <c r="Z126">
        <f t="shared" si="23"/>
        <v>0</v>
      </c>
      <c r="AA126">
        <f t="shared" si="24"/>
        <v>1</v>
      </c>
      <c r="AB126" s="94">
        <f t="shared" si="25"/>
        <v>2216129.3438588912</v>
      </c>
      <c r="AC126">
        <f>AB126*D126*10000*VLOOKUP(A126,[1]kcal!$A$2:$C$49,3,FALSE)/1000000000000</f>
        <v>2.0166777029115912</v>
      </c>
    </row>
    <row r="127" spans="1:29" x14ac:dyDescent="0.25">
      <c r="A127" s="171" t="str">
        <f t="shared" si="36"/>
        <v>Mejeriprodukter</v>
      </c>
      <c r="B127" s="171" t="str">
        <f t="shared" si="37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39"/>
        <v>1</v>
      </c>
      <c r="E127" s="171">
        <f t="shared" si="38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3069579.4456842686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6"/>
        <v>2578754.8968308186</v>
      </c>
      <c r="P127" s="94">
        <f t="shared" si="22"/>
        <v>0</v>
      </c>
      <c r="Q127" s="180">
        <f t="shared" si="27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8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9"/>
        <v>0</v>
      </c>
      <c r="Z127">
        <f t="shared" si="23"/>
        <v>0</v>
      </c>
      <c r="AA127">
        <f t="shared" si="24"/>
        <v>1</v>
      </c>
      <c r="AB127" s="94">
        <f t="shared" si="25"/>
        <v>3069579.4456842686</v>
      </c>
      <c r="AC127">
        <f>AB127*D127*10000*VLOOKUP(A127,[1]kcal!$A$2:$C$49,3,FALSE)/1000000000000</f>
        <v>1.9338350507810891</v>
      </c>
    </row>
    <row r="128" spans="1:29" x14ac:dyDescent="0.25">
      <c r="A128" s="171" t="str">
        <f t="shared" si="36"/>
        <v>Muslinger</v>
      </c>
      <c r="B128" s="171" t="str">
        <f t="shared" si="37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39"/>
        <v>1</v>
      </c>
      <c r="E128" s="171">
        <f t="shared" si="38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6"/>
        <v>878.90231344976178</v>
      </c>
      <c r="P128" s="94">
        <f t="shared" si="22"/>
        <v>878.90231344976178</v>
      </c>
      <c r="Q128" s="180">
        <f t="shared" si="27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8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9"/>
        <v>131.83534701746427</v>
      </c>
      <c r="Z128">
        <f t="shared" si="23"/>
        <v>0</v>
      </c>
      <c r="AA128">
        <f t="shared" si="24"/>
        <v>1</v>
      </c>
      <c r="AB128" s="94">
        <f t="shared" si="25"/>
        <v>878.90231344976178</v>
      </c>
      <c r="AC128">
        <f>AB128*D128*10000*VLOOKUP(A128,[1]kcal!$A$2:$C$49,3,FALSE)/1000000000000</f>
        <v>7.2948892016330225E-4</v>
      </c>
    </row>
    <row r="129" spans="1:29" x14ac:dyDescent="0.25">
      <c r="A129" s="171" t="str">
        <f t="shared" si="36"/>
        <v>Oksekød</v>
      </c>
      <c r="B129" s="171" t="str">
        <f t="shared" si="37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39"/>
        <v>1</v>
      </c>
      <c r="E129" s="171">
        <f t="shared" si="38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102788.11573768182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6"/>
        <v>40419.548064407238</v>
      </c>
      <c r="P129" s="94">
        <f t="shared" si="22"/>
        <v>0</v>
      </c>
      <c r="Q129" s="180">
        <f t="shared" si="27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8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9"/>
        <v>0</v>
      </c>
      <c r="Z129">
        <f t="shared" si="23"/>
        <v>1</v>
      </c>
      <c r="AA129">
        <f t="shared" si="24"/>
        <v>0</v>
      </c>
      <c r="AB129" s="94">
        <f t="shared" si="25"/>
        <v>102788.11573768182</v>
      </c>
      <c r="AC129">
        <f>AB129*D129*10000*VLOOKUP(A129,[1]kcal!$A$2:$C$49,3,FALSE)/1000000000000</f>
        <v>0.20043682568847956</v>
      </c>
    </row>
    <row r="130" spans="1:29" x14ac:dyDescent="0.25">
      <c r="A130" s="171" t="str">
        <f t="shared" si="36"/>
        <v>Øvrige</v>
      </c>
      <c r="B130" s="171" t="str">
        <f t="shared" si="37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39"/>
        <v>1</v>
      </c>
      <c r="E130" s="171">
        <f t="shared" si="38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1547190.8284741363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6"/>
        <v>1547190.8284741363</v>
      </c>
      <c r="P130" s="94">
        <f t="shared" si="22"/>
        <v>0</v>
      </c>
      <c r="Q130" s="180">
        <f t="shared" si="27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8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9"/>
        <v>0</v>
      </c>
      <c r="Z130">
        <f t="shared" si="23"/>
        <v>0</v>
      </c>
      <c r="AA130">
        <f t="shared" si="24"/>
        <v>1</v>
      </c>
      <c r="AB130" s="94">
        <f t="shared" si="25"/>
        <v>1547190.8284741363</v>
      </c>
      <c r="AC130">
        <f>AB130*D130*10000*VLOOKUP(A130,[1]kcal!$A$2:$C$49,3,FALSE)/1000000000000</f>
        <v>0.60340442310491316</v>
      </c>
    </row>
    <row r="131" spans="1:29" x14ac:dyDescent="0.25">
      <c r="A131" s="171" t="str">
        <f t="shared" si="36"/>
        <v>Pil &amp; poppel</v>
      </c>
      <c r="B131" s="171" t="str">
        <f t="shared" si="37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39"/>
        <v>0</v>
      </c>
      <c r="E131" s="171">
        <f t="shared" si="38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146472.78733520172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146472.78733520172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6"/>
        <v>0</v>
      </c>
      <c r="P131" s="94">
        <f t="shared" si="22"/>
        <v>0</v>
      </c>
      <c r="Q131" s="180">
        <f t="shared" si="27"/>
        <v>146472.78733520172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2.6950992869677113</v>
      </c>
      <c r="T131">
        <f>IFERROR(VLOOKUP(A131,[1]Biogasudbytte!$A$2:$B$18,2,FALSE)*[1]Energiindhold!$C$10,0)*K131*IFERROR(VLOOKUP(A131,Biogasanlæg!$F$3:$G$8,2,FALSE),1)</f>
        <v>0</v>
      </c>
      <c r="U131" s="170">
        <f t="shared" si="28"/>
        <v>2.6950992869677113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60786.20674410872</v>
      </c>
      <c r="X131">
        <f>K131*IFERROR(VLOOKUP(A131,[1]Tørstofindhold!A$2:B$24,2,FALSE),0)</f>
        <v>0</v>
      </c>
      <c r="Y131" s="170">
        <f t="shared" si="29"/>
        <v>60786.20674410872</v>
      </c>
      <c r="Z131">
        <f t="shared" si="23"/>
        <v>0</v>
      </c>
      <c r="AA131">
        <f t="shared" si="24"/>
        <v>0</v>
      </c>
      <c r="AB131" s="94">
        <f t="shared" si="25"/>
        <v>146472.78733520172</v>
      </c>
      <c r="AC131">
        <f>AB131*D131*10000*VLOOKUP(A131,[1]kcal!$A$2:$C$49,3,FALSE)/1000000000000</f>
        <v>0</v>
      </c>
    </row>
    <row r="132" spans="1:29" x14ac:dyDescent="0.25">
      <c r="A132" s="171" t="str">
        <f t="shared" ref="A132:A133" si="40">A84</f>
        <v>Pyrolysegas</v>
      </c>
      <c r="B132" s="171" t="str">
        <f t="shared" ref="B132:B133" si="41"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39"/>
        <v>0</v>
      </c>
      <c r="E132" s="171">
        <f t="shared" si="38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 t="shared" ref="O132:O133" si="42">G132-SUM(H132:N132)</f>
        <v>0</v>
      </c>
      <c r="P132" s="94">
        <f t="shared" ref="P132:P195" si="43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 t="shared" ref="Q132:Q133" si="44"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ref="U132:U133" si="45"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ref="Y132:Y133" si="46">W132-X132</f>
        <v>0</v>
      </c>
      <c r="Z132">
        <f t="shared" ref="Z132:Z195" si="47">IF(SUMIFS($O$4:$O$291,$A$4:$A$291,A132,$E$4:$E$291,E132)&lt;0,1,0)</f>
        <v>0</v>
      </c>
      <c r="AA132">
        <f t="shared" ref="AA132:AA195" si="48">IF(SUMIFS($O$4:$O$291,$A$4:$A$291,A132,$E$4:$E$291,E132)&gt;0,1,0)</f>
        <v>0</v>
      </c>
      <c r="AB132" s="94">
        <f t="shared" si="25"/>
        <v>0</v>
      </c>
      <c r="AC132">
        <f>AB132*D132*10000*VLOOKUP(A132,[1]kcal!$A$2:$C$49,3,FALSE)/1000000000000</f>
        <v>0</v>
      </c>
    </row>
    <row r="133" spans="1:29" x14ac:dyDescent="0.25">
      <c r="A133" s="171" t="str">
        <f t="shared" si="40"/>
        <v>Pyrolyseolie</v>
      </c>
      <c r="B133" s="171" t="str">
        <f t="shared" si="41"/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39"/>
        <v>0</v>
      </c>
      <c r="E133" s="171">
        <f t="shared" si="38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 t="shared" si="42"/>
        <v>0</v>
      </c>
      <c r="P133" s="94">
        <f t="shared" si="43"/>
        <v>0</v>
      </c>
      <c r="Q133" s="180">
        <f t="shared" si="44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45"/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46"/>
        <v>0</v>
      </c>
      <c r="Z133">
        <f t="shared" si="47"/>
        <v>0</v>
      </c>
      <c r="AA133">
        <f t="shared" si="48"/>
        <v>0</v>
      </c>
      <c r="AB133" s="94">
        <f t="shared" ref="AB133:AB196" si="49">G133-SUMPRODUCT($H$2:$N$2,H133:N133)</f>
        <v>0</v>
      </c>
      <c r="AC133">
        <f>AB133*D133*10000*VLOOKUP(A133,[1]kcal!$A$2:$C$49,3,FALSE)/1000000000000</f>
        <v>0</v>
      </c>
    </row>
    <row r="134" spans="1:29" x14ac:dyDescent="0.25">
      <c r="A134" s="171" t="str">
        <f t="shared" ref="A134:A147" si="50">A86</f>
        <v>Råmælk</v>
      </c>
      <c r="B134" s="171" t="str">
        <f t="shared" ref="B134:B147" si="51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39"/>
        <v>0</v>
      </c>
      <c r="E134" s="171">
        <f t="shared" si="38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4779961.9648844432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6"/>
        <v>4779961.9648844432</v>
      </c>
      <c r="P134" s="94">
        <f t="shared" si="43"/>
        <v>0</v>
      </c>
      <c r="Q134" s="180">
        <f t="shared" si="27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8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9"/>
        <v>0</v>
      </c>
      <c r="Z134">
        <f t="shared" si="47"/>
        <v>0</v>
      </c>
      <c r="AA134">
        <f t="shared" si="48"/>
        <v>1</v>
      </c>
      <c r="AB134" s="94">
        <f t="shared" si="49"/>
        <v>4779961.9648844432</v>
      </c>
      <c r="AC134">
        <f>AB134*D134*10000*VLOOKUP(A134,[1]kcal!$A$2:$C$49,3,FALSE)/1000000000000</f>
        <v>0</v>
      </c>
    </row>
    <row r="135" spans="1:29" x14ac:dyDescent="0.25">
      <c r="A135" s="171" t="str">
        <f t="shared" si="50"/>
        <v>Raps</v>
      </c>
      <c r="B135" s="171" t="str">
        <f t="shared" si="51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39"/>
        <v>0</v>
      </c>
      <c r="E135" s="171">
        <f t="shared" si="38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471962.43365815014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471962.43365815014</v>
      </c>
      <c r="O135" s="179">
        <f t="shared" si="26"/>
        <v>0</v>
      </c>
      <c r="P135" s="94">
        <f t="shared" si="43"/>
        <v>0</v>
      </c>
      <c r="Q135" s="180">
        <f t="shared" si="27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8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9"/>
        <v>0</v>
      </c>
      <c r="Z135">
        <f t="shared" si="47"/>
        <v>0</v>
      </c>
      <c r="AA135">
        <f t="shared" si="48"/>
        <v>0</v>
      </c>
      <c r="AB135" s="94">
        <f t="shared" si="49"/>
        <v>471962.43365815014</v>
      </c>
      <c r="AC135">
        <f>AB135*D135*10000*VLOOKUP(A135,[1]kcal!$A$2:$C$49,3,FALSE)/1000000000000</f>
        <v>0</v>
      </c>
    </row>
    <row r="136" spans="1:29" x14ac:dyDescent="0.25">
      <c r="A136" s="171" t="str">
        <f t="shared" si="50"/>
        <v>Rapskage</v>
      </c>
      <c r="B136" s="171" t="str">
        <f t="shared" si="51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39"/>
        <v>0</v>
      </c>
      <c r="E136" s="171">
        <f t="shared" si="38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235981.21682907507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199225.59614708141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6"/>
        <v>36755.620681993663</v>
      </c>
      <c r="P136" s="94">
        <f t="shared" si="43"/>
        <v>0</v>
      </c>
      <c r="Q136" s="180">
        <f t="shared" si="2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8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9"/>
        <v>0</v>
      </c>
      <c r="Z136">
        <f t="shared" si="47"/>
        <v>0</v>
      </c>
      <c r="AA136">
        <f t="shared" si="48"/>
        <v>1</v>
      </c>
      <c r="AB136" s="94">
        <f t="shared" si="49"/>
        <v>36755.620681993663</v>
      </c>
      <c r="AC136">
        <f>AB136*D136*10000*VLOOKUP(A136,[1]kcal!$A$2:$C$49,3,FALSE)/1000000000000</f>
        <v>0</v>
      </c>
    </row>
    <row r="137" spans="1:29" x14ac:dyDescent="0.25">
      <c r="A137" s="171" t="str">
        <f t="shared" si="50"/>
        <v>Rapsolie</v>
      </c>
      <c r="B137" s="171" t="str">
        <f t="shared" si="51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39"/>
        <v>1</v>
      </c>
      <c r="E137" s="171">
        <f t="shared" si="38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151027.97877060805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151027.97877060805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6"/>
        <v>0</v>
      </c>
      <c r="P137" s="94">
        <f t="shared" si="43"/>
        <v>0</v>
      </c>
      <c r="Q137" s="180">
        <f t="shared" si="27"/>
        <v>151027.97877060805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5.2859792569712818</v>
      </c>
      <c r="T137">
        <f>IFERROR(VLOOKUP(A137,[1]Biogasudbytte!$A$2:$B$18,2,FALSE)*[1]Energiindhold!$C$10,0)*K137*IFERROR(VLOOKUP(A137,Biogasanlæg!$F$3:$G$8,2,FALSE),1)</f>
        <v>0</v>
      </c>
      <c r="U137" s="170">
        <f t="shared" si="28"/>
        <v>5.2859792569712818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9"/>
        <v>0</v>
      </c>
      <c r="Z137">
        <f t="shared" si="47"/>
        <v>0</v>
      </c>
      <c r="AA137">
        <f t="shared" si="48"/>
        <v>0</v>
      </c>
      <c r="AB137" s="94">
        <f t="shared" si="49"/>
        <v>151027.97877060805</v>
      </c>
      <c r="AC137">
        <f>AB137*D137*10000*VLOOKUP(A137,[1]kcal!$A$2:$C$49,3,FALSE)/1000000000000</f>
        <v>1.3592518089354724</v>
      </c>
    </row>
    <row r="138" spans="1:29" x14ac:dyDescent="0.25">
      <c r="A138" s="171" t="str">
        <f t="shared" si="50"/>
        <v>Roer</v>
      </c>
      <c r="B138" s="171" t="str">
        <f t="shared" si="51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39"/>
        <v>1</v>
      </c>
      <c r="E138" s="171">
        <f t="shared" si="38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370630.07456563454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782731.52628497675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6"/>
        <v>-412101.45171934221</v>
      </c>
      <c r="P138" s="94">
        <f t="shared" si="43"/>
        <v>0</v>
      </c>
      <c r="Q138" s="180">
        <f t="shared" si="27"/>
        <v>0</v>
      </c>
      <c r="R138">
        <f>IFERROR(VLOOKUP(A138,[1]Energiindhold!$A$2:$C$11,3,FALSE),IFERROR(VLOOKUP(A138,[1]Biogasudbytte!$A$2:$B$18,2,FALSE)*[1]Energiindhold!$C$10,0))*P138</f>
        <v>0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0</v>
      </c>
      <c r="T138">
        <f>IFERROR(VLOOKUP(A138,[1]Biogasudbytte!$A$2:$B$18,2,FALSE)*[1]Energiindhold!$C$10,0)*K138*IFERROR(VLOOKUP(A138,Biogasanlæg!$F$3:$G$8,2,FALSE),1)</f>
        <v>0</v>
      </c>
      <c r="U138" s="170">
        <f t="shared" si="28"/>
        <v>0</v>
      </c>
      <c r="V138" s="169">
        <f>P138*IFERROR(VLOOKUP(A138,[1]Tørstofindhold!A$2:B$24,2,FALSE),0)</f>
        <v>0</v>
      </c>
      <c r="W138">
        <f>IF(E138=År1,Q138,SUM(P138,Q138))*IFERROR(VLOOKUP(A138,[1]Tørstofindhold!A$2:B$24,2,FALSE),0)</f>
        <v>0</v>
      </c>
      <c r="X138">
        <f>K138*IFERROR(VLOOKUP(A138,[1]Tørstofindhold!A$2:B$24,2,FALSE),0)</f>
        <v>0</v>
      </c>
      <c r="Y138" s="170">
        <f t="shared" si="29"/>
        <v>0</v>
      </c>
      <c r="Z138">
        <f t="shared" si="47"/>
        <v>0</v>
      </c>
      <c r="AA138">
        <f t="shared" si="48"/>
        <v>1</v>
      </c>
      <c r="AB138" s="94">
        <f t="shared" si="49"/>
        <v>-412101.45171934221</v>
      </c>
      <c r="AC138">
        <f>AB138*D138*10000*VLOOKUP(A138,[1]kcal!$A$2:$C$49,3,FALSE)/1000000000000</f>
        <v>-0.12363043551580266</v>
      </c>
    </row>
    <row r="139" spans="1:29" x14ac:dyDescent="0.25">
      <c r="A139" s="171" t="str">
        <f t="shared" si="50"/>
        <v>Slagteriaffald til andet</v>
      </c>
      <c r="B139" s="171" t="str">
        <f t="shared" si="51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39"/>
        <v>0</v>
      </c>
      <c r="E139" s="171">
        <f t="shared" si="38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173774.13679266855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6"/>
        <v>173774.13679266855</v>
      </c>
      <c r="P139" s="94">
        <f t="shared" si="43"/>
        <v>0</v>
      </c>
      <c r="Q139" s="180">
        <f t="shared" si="2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8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9"/>
        <v>0</v>
      </c>
      <c r="Z139">
        <f t="shared" si="47"/>
        <v>0</v>
      </c>
      <c r="AA139">
        <f t="shared" si="48"/>
        <v>1</v>
      </c>
      <c r="AB139" s="94">
        <f t="shared" si="49"/>
        <v>173774.13679266855</v>
      </c>
      <c r="AC139">
        <f>AB139*D139*10000*VLOOKUP(A139,[1]kcal!$A$2:$C$49,3,FALSE)/1000000000000</f>
        <v>0</v>
      </c>
    </row>
    <row r="140" spans="1:29" x14ac:dyDescent="0.25">
      <c r="A140" s="171" t="str">
        <f t="shared" si="50"/>
        <v>Slagteriaffald til foder</v>
      </c>
      <c r="B140" s="171" t="str">
        <f t="shared" si="51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39"/>
        <v>0</v>
      </c>
      <c r="E140" s="171">
        <f t="shared" si="38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114148.26729349417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36677.515608667709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6"/>
        <v>77470.751684826449</v>
      </c>
      <c r="P140" s="94">
        <f t="shared" si="43"/>
        <v>0</v>
      </c>
      <c r="Q140" s="180">
        <f t="shared" si="2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8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9"/>
        <v>0</v>
      </c>
      <c r="Z140">
        <f t="shared" si="47"/>
        <v>0</v>
      </c>
      <c r="AA140">
        <f t="shared" si="48"/>
        <v>1</v>
      </c>
      <c r="AB140" s="94">
        <f t="shared" si="49"/>
        <v>77470.751684826449</v>
      </c>
      <c r="AC140">
        <f>AB140*D140*10000*VLOOKUP(A140,[1]kcal!$A$2:$C$49,3,FALSE)/1000000000000</f>
        <v>0</v>
      </c>
    </row>
    <row r="141" spans="1:29" x14ac:dyDescent="0.25">
      <c r="A141" s="171" t="str">
        <f t="shared" si="50"/>
        <v>Spildevandsslam</v>
      </c>
      <c r="B141" s="171" t="str">
        <f t="shared" si="51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39"/>
        <v>0</v>
      </c>
      <c r="E141" s="171">
        <f t="shared" si="38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4121832.5977837904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3709649.3380054114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6"/>
        <v>412183.259778379</v>
      </c>
      <c r="P141" s="94">
        <f t="shared" si="43"/>
        <v>412183.259778379</v>
      </c>
      <c r="Q141" s="180">
        <f t="shared" si="27"/>
        <v>3709649.3380054114</v>
      </c>
      <c r="R141">
        <f>IFERROR(VLOOKUP(A141,[1]Energiindhold!$A$2:$C$11,3,FALSE),IFERROR(VLOOKUP(A141,[1]Biogasudbytte!$A$2:$B$18,2,FALSE)*[1]Energiindhold!$C$10,0))*P141</f>
        <v>0.20568356846200894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2.0568356846200895</v>
      </c>
      <c r="T141">
        <f>IFERROR(VLOOKUP(A141,[1]Biogasudbytte!$A$2:$B$18,2,FALSE)*[1]Energiindhold!$C$10,0)*K141*IFERROR(VLOOKUP(A141,Biogasanlæg!$F$3:$G$8,2,FALSE),1)</f>
        <v>1.8511521161580806</v>
      </c>
      <c r="U141" s="170">
        <f t="shared" si="28"/>
        <v>0.20568356846200886</v>
      </c>
      <c r="V141" s="169">
        <f>P141*IFERROR(VLOOKUP(A141,[1]Tørstofindhold!A$2:B$24,2,FALSE),0)</f>
        <v>24730.995586702738</v>
      </c>
      <c r="W141">
        <f>IF(E141=År1,Q141,SUM(P141,Q141))*IFERROR(VLOOKUP(A141,[1]Tørstofindhold!A$2:B$24,2,FALSE),0)</f>
        <v>247309.95586702743</v>
      </c>
      <c r="X141">
        <f>K141*IFERROR(VLOOKUP(A141,[1]Tørstofindhold!A$2:B$24,2,FALSE),0)</f>
        <v>222578.96028032468</v>
      </c>
      <c r="Y141" s="170">
        <f t="shared" si="29"/>
        <v>24730.995586702746</v>
      </c>
      <c r="Z141">
        <f t="shared" si="47"/>
        <v>0</v>
      </c>
      <c r="AA141">
        <f t="shared" si="48"/>
        <v>1</v>
      </c>
      <c r="AB141" s="94">
        <f t="shared" si="49"/>
        <v>412183.259778379</v>
      </c>
      <c r="AC141">
        <f>AB141*D141*10000*VLOOKUP(A141,[1]kcal!$A$2:$C$49,3,FALSE)/1000000000000</f>
        <v>0</v>
      </c>
    </row>
    <row r="142" spans="1:29" x14ac:dyDescent="0.25">
      <c r="A142" s="171" t="str">
        <f t="shared" si="50"/>
        <v>Svinegylle</v>
      </c>
      <c r="B142" s="171" t="str">
        <f t="shared" si="51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39"/>
        <v>0</v>
      </c>
      <c r="E142" s="171">
        <f t="shared" si="38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12989062.590821607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11690156.331739446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1298906.2590821604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6"/>
        <v>0</v>
      </c>
      <c r="P142" s="94">
        <f t="shared" si="43"/>
        <v>0</v>
      </c>
      <c r="Q142" s="180">
        <f t="shared" si="27"/>
        <v>11690156.331739446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5.0361193477133543</v>
      </c>
      <c r="T142">
        <f>IFERROR(VLOOKUP(A142,[1]Biogasudbytte!$A$2:$B$18,2,FALSE)*[1]Energiindhold!$C$10,0)*K142*IFERROR(VLOOKUP(A142,Biogasanlæg!$F$3:$G$8,2,FALSE),1)</f>
        <v>5.0361193477133543</v>
      </c>
      <c r="U142" s="170">
        <f t="shared" si="28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584507.81658697233</v>
      </c>
      <c r="X142">
        <f>K142*IFERROR(VLOOKUP(A142,[1]Tørstofindhold!A$2:B$24,2,FALSE),0)</f>
        <v>584507.81658697233</v>
      </c>
      <c r="Y142" s="170">
        <f t="shared" si="29"/>
        <v>0</v>
      </c>
      <c r="Z142">
        <f t="shared" si="47"/>
        <v>0</v>
      </c>
      <c r="AA142">
        <f t="shared" si="48"/>
        <v>0</v>
      </c>
      <c r="AB142" s="94">
        <f t="shared" si="49"/>
        <v>0</v>
      </c>
      <c r="AC142">
        <f>AB142*D142*10000*VLOOKUP(A142,[1]kcal!$A$2:$C$49,3,FALSE)/1000000000000</f>
        <v>0</v>
      </c>
    </row>
    <row r="143" spans="1:29" x14ac:dyDescent="0.25">
      <c r="A143" s="171" t="str">
        <f t="shared" si="50"/>
        <v>Svinekød</v>
      </c>
      <c r="B143" s="171" t="str">
        <f t="shared" si="51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39"/>
        <v>1</v>
      </c>
      <c r="E143" s="171">
        <f t="shared" si="38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1206135.7873952007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6"/>
        <v>1079508.6954524918</v>
      </c>
      <c r="P143" s="94">
        <f t="shared" si="43"/>
        <v>0</v>
      </c>
      <c r="Q143" s="180">
        <f t="shared" si="2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8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9"/>
        <v>0</v>
      </c>
      <c r="Z143">
        <f t="shared" si="47"/>
        <v>0</v>
      </c>
      <c r="AA143">
        <f t="shared" si="48"/>
        <v>1</v>
      </c>
      <c r="AB143" s="94">
        <f t="shared" si="49"/>
        <v>1206135.7873952007</v>
      </c>
      <c r="AC143">
        <f>AB143*D143*10000*VLOOKUP(A143,[1]kcal!$A$2:$C$49,3,FALSE)/1000000000000</f>
        <v>2.3519647854206416</v>
      </c>
    </row>
    <row r="144" spans="1:29" x14ac:dyDescent="0.25">
      <c r="A144" s="171" t="str">
        <f t="shared" si="50"/>
        <v>Tang</v>
      </c>
      <c r="B144" s="171" t="str">
        <f t="shared" si="51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39"/>
        <v>1</v>
      </c>
      <c r="E144" s="171">
        <f t="shared" si="38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382.5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6"/>
        <v>382.5</v>
      </c>
      <c r="P144" s="94">
        <f t="shared" si="43"/>
        <v>382.5</v>
      </c>
      <c r="Q144" s="180">
        <f t="shared" si="27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28"/>
        <v>3.4329375000000003E-4</v>
      </c>
      <c r="V144" s="169">
        <f>P144*IFERROR(VLOOKUP(A144,[1]Tørstofindhold!A$2:B$24,2,FALSE),0)</f>
        <v>57.375</v>
      </c>
      <c r="W144">
        <f>IF(E144=År1,Q144,SUM(P144,Q144))*IFERROR(VLOOKUP(A144,[1]Tørstofindhold!A$2:B$24,2,FALSE),0)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29"/>
        <v>57.375</v>
      </c>
      <c r="Z144">
        <f t="shared" si="47"/>
        <v>0</v>
      </c>
      <c r="AA144">
        <f t="shared" si="48"/>
        <v>1</v>
      </c>
      <c r="AB144" s="94">
        <f t="shared" si="49"/>
        <v>382.5</v>
      </c>
      <c r="AC144">
        <f>AB144*D144*10000*VLOOKUP(A144,[1]kcal!$A$2:$C$49,3,FALSE)/1000000000000</f>
        <v>1.5605999999999999E-4</v>
      </c>
    </row>
    <row r="145" spans="1:29" x14ac:dyDescent="0.25">
      <c r="A145" s="171" t="str">
        <f t="shared" si="50"/>
        <v>Total til biogas</v>
      </c>
      <c r="B145" s="171" t="str">
        <f t="shared" si="51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39"/>
        <v>0</v>
      </c>
      <c r="E145" s="171">
        <f t="shared" si="38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6"/>
        <v>0</v>
      </c>
      <c r="P145" s="94">
        <f t="shared" si="43"/>
        <v>0</v>
      </c>
      <c r="Q145" s="180">
        <f t="shared" si="2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8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9"/>
        <v>0</v>
      </c>
      <c r="Z145">
        <f t="shared" si="47"/>
        <v>0</v>
      </c>
      <c r="AA145">
        <f t="shared" si="48"/>
        <v>0</v>
      </c>
      <c r="AB145" s="94">
        <f t="shared" si="49"/>
        <v>0</v>
      </c>
      <c r="AC145">
        <f>AB145*D145*10000*VLOOKUP(A145,[1]kcal!$A$2:$C$49,3,FALSE)/1000000000000</f>
        <v>0</v>
      </c>
    </row>
    <row r="146" spans="1:29" x14ac:dyDescent="0.25">
      <c r="A146" s="171" t="str">
        <f t="shared" si="50"/>
        <v>Træ til energi</v>
      </c>
      <c r="B146" s="171" t="str">
        <f t="shared" si="51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39"/>
        <v>0</v>
      </c>
      <c r="E146" s="171">
        <f t="shared" si="38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2287577.6202536402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2287577.6202536402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6"/>
        <v>0</v>
      </c>
      <c r="P146" s="94">
        <f t="shared" ca="1" si="43"/>
        <v>0</v>
      </c>
      <c r="Q146" s="180">
        <f t="shared" ca="1" si="27"/>
        <v>2287577.6202536402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33.155163855017776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8"/>
        <v>33.155163855017776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1131397.7646837796</v>
      </c>
      <c r="X146">
        <f>K146*IFERROR(VLOOKUP(A146,[1]Tørstofindhold!A$2:B$24,2,FALSE),0)</f>
        <v>0</v>
      </c>
      <c r="Y146" s="170">
        <f t="shared" ca="1" si="29"/>
        <v>1131397.7646837796</v>
      </c>
      <c r="Z146">
        <f t="shared" ca="1" si="47"/>
        <v>0</v>
      </c>
      <c r="AA146">
        <f t="shared" ca="1" si="48"/>
        <v>0</v>
      </c>
      <c r="AB146" s="94">
        <f t="shared" ca="1" si="49"/>
        <v>2287577.6202536402</v>
      </c>
      <c r="AC146">
        <f ca="1">AB146*D146*10000*VLOOKUP(A146,[1]kcal!$A$2:$C$49,3,FALSE)/1000000000000</f>
        <v>0</v>
      </c>
    </row>
    <row r="147" spans="1:29" x14ac:dyDescent="0.25">
      <c r="A147" s="171" t="str">
        <f t="shared" si="50"/>
        <v>Træmaterialer</v>
      </c>
      <c r="B147" s="171" t="str">
        <f t="shared" si="51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39"/>
        <v>0</v>
      </c>
      <c r="E147" s="171">
        <f t="shared" si="38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659548.66396073136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659548.66396073136</v>
      </c>
      <c r="O147" s="179">
        <f t="shared" ca="1" si="26"/>
        <v>0</v>
      </c>
      <c r="P147" s="94">
        <f t="shared" si="43"/>
        <v>0</v>
      </c>
      <c r="Q147" s="180">
        <f t="shared" si="2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8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9"/>
        <v>0</v>
      </c>
      <c r="Z147">
        <f t="shared" ca="1" si="47"/>
        <v>0</v>
      </c>
      <c r="AA147">
        <f t="shared" ca="1" si="48"/>
        <v>0</v>
      </c>
      <c r="AB147" s="94">
        <f t="shared" ca="1" si="49"/>
        <v>659548.66396073136</v>
      </c>
      <c r="AC147">
        <f ca="1">AB147*D147*10000*VLOOKUP(A147,[1]kcal!$A$2:$C$49,3,FALSE)/1000000000000</f>
        <v>0</v>
      </c>
    </row>
    <row r="148" spans="1:29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39"/>
        <v>1</v>
      </c>
      <c r="E148" s="171">
        <f t="shared" ref="E148:E195" si="52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6"/>
        <v>-8430.5352358472264</v>
      </c>
      <c r="P148" s="94">
        <f t="shared" si="43"/>
        <v>0</v>
      </c>
      <c r="Q148" s="180">
        <f t="shared" si="27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8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9"/>
        <v>0</v>
      </c>
      <c r="Z148">
        <f t="shared" si="47"/>
        <v>0</v>
      </c>
      <c r="AA148">
        <f t="shared" si="48"/>
        <v>1</v>
      </c>
      <c r="AB148" s="94">
        <f t="shared" si="49"/>
        <v>18450.007031483605</v>
      </c>
      <c r="AC148">
        <f>AB148*D148*10000*VLOOKUP(A148,[1]kcal!$A$2:$C$49,3,FALSE)/1000000000000</f>
        <v>2.5461009703447376E-2</v>
      </c>
    </row>
    <row r="149" spans="1:29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39"/>
        <v>1</v>
      </c>
      <c r="E149" s="171">
        <f t="shared" si="52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6"/>
        <v>19055.87878491775</v>
      </c>
      <c r="P149" s="94">
        <f t="shared" si="43"/>
        <v>0</v>
      </c>
      <c r="Q149" s="180">
        <f t="shared" si="27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8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9"/>
        <v>0</v>
      </c>
      <c r="Z149">
        <f t="shared" si="47"/>
        <v>0</v>
      </c>
      <c r="AA149">
        <f t="shared" si="48"/>
        <v>1</v>
      </c>
      <c r="AB149" s="94">
        <f t="shared" si="49"/>
        <v>19055.87878491775</v>
      </c>
      <c r="AC149">
        <f>AB149*D149*10000*VLOOKUP(A149,[1]kcal!$A$2:$C$49,3,FALSE)/1000000000000</f>
        <v>0.13234307816125379</v>
      </c>
    </row>
    <row r="150" spans="1:29" x14ac:dyDescent="0.25">
      <c r="A150" s="171" t="s">
        <v>102</v>
      </c>
      <c r="B150" s="171" t="s">
        <v>230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39"/>
        <v>0</v>
      </c>
      <c r="E150" s="171">
        <f t="shared" si="52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6"/>
        <v>-170507.33327986751</v>
      </c>
      <c r="P150" s="94">
        <f t="shared" ca="1" si="43"/>
        <v>0</v>
      </c>
      <c r="Q150" s="180">
        <f t="shared" ca="1" si="27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8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9"/>
        <v>0</v>
      </c>
      <c r="Z150">
        <f t="shared" ca="1" si="47"/>
        <v>1</v>
      </c>
      <c r="AA150">
        <f t="shared" ca="1" si="48"/>
        <v>0</v>
      </c>
      <c r="AB150" s="94">
        <f t="shared" ca="1" si="49"/>
        <v>-170507.33327986751</v>
      </c>
      <c r="AC150">
        <f ca="1">AB150*D150*10000*VLOOKUP(A150,[1]kcal!$A$2:$C$49,3,FALSE)/1000000000000</f>
        <v>0</v>
      </c>
    </row>
    <row r="151" spans="1:29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39"/>
        <v>0</v>
      </c>
      <c r="E151" s="171">
        <f t="shared" si="52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53">G151-SUM(H151:N151)</f>
        <v>0</v>
      </c>
      <c r="P151" s="94">
        <f t="shared" ca="1" si="43"/>
        <v>0</v>
      </c>
      <c r="Q151" s="180">
        <f t="shared" ref="Q151:Q216" ca="1" si="54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55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56">W151-X151</f>
        <v>0</v>
      </c>
      <c r="Z151">
        <f t="shared" ca="1" si="47"/>
        <v>0</v>
      </c>
      <c r="AA151">
        <f t="shared" ca="1" si="48"/>
        <v>0</v>
      </c>
      <c r="AB151" s="94">
        <f t="shared" ca="1" si="49"/>
        <v>110817068.59908372</v>
      </c>
      <c r="AC151">
        <f ca="1">AB151*D151*10000*VLOOKUP(A151,[1]kcal!$A$2:$C$49,3,FALSE)/1000000000000</f>
        <v>0</v>
      </c>
    </row>
    <row r="152" spans="1:29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39"/>
        <v>0</v>
      </c>
      <c r="E152" s="171">
        <f t="shared" si="52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53"/>
        <v>661211.27137287101</v>
      </c>
      <c r="P152" s="94">
        <f t="shared" si="43"/>
        <v>0</v>
      </c>
      <c r="Q152" s="180">
        <f t="shared" si="54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55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56"/>
        <v>0</v>
      </c>
      <c r="Z152">
        <f t="shared" ca="1" si="47"/>
        <v>0</v>
      </c>
      <c r="AA152">
        <f t="shared" ca="1" si="48"/>
        <v>1</v>
      </c>
      <c r="AB152" s="94">
        <f t="shared" ca="1" si="49"/>
        <v>661211.27137287101</v>
      </c>
      <c r="AC152">
        <f ca="1">AB152*D152*10000*VLOOKUP(A152,[1]kcal!$A$2:$C$49,3,FALSE)/1000000000000</f>
        <v>0</v>
      </c>
    </row>
    <row r="153" spans="1:29" x14ac:dyDescent="0.25">
      <c r="A153" s="171" t="s">
        <v>208</v>
      </c>
      <c r="B153" s="171" t="s">
        <v>230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39"/>
        <v>0</v>
      </c>
      <c r="E153" s="171">
        <f t="shared" si="52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53"/>
        <v>0</v>
      </c>
      <c r="P153" s="94">
        <f t="shared" si="43"/>
        <v>0</v>
      </c>
      <c r="Q153" s="180">
        <f t="shared" si="54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55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56"/>
        <v>0</v>
      </c>
      <c r="Z153">
        <f t="shared" si="47"/>
        <v>0</v>
      </c>
      <c r="AA153">
        <f t="shared" si="48"/>
        <v>0</v>
      </c>
      <c r="AB153" s="94">
        <f t="shared" si="49"/>
        <v>0</v>
      </c>
      <c r="AC153">
        <f>AB153*D153*10000*VLOOKUP(A153,[1]kcal!$A$2:$C$49,3,FALSE)/1000000000000</f>
        <v>0</v>
      </c>
    </row>
    <row r="154" spans="1:29" x14ac:dyDescent="0.25">
      <c r="A154" t="s">
        <v>101</v>
      </c>
      <c r="B154" s="171" t="s">
        <v>222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39"/>
        <v>0</v>
      </c>
      <c r="E154" s="171">
        <f t="shared" si="52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53"/>
        <v>153410.57659836096</v>
      </c>
      <c r="P154" s="94">
        <f t="shared" si="43"/>
        <v>153410.57659836096</v>
      </c>
      <c r="Q154" s="180">
        <f t="shared" si="54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55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56"/>
        <v>0</v>
      </c>
      <c r="Z154">
        <f t="shared" si="47"/>
        <v>0</v>
      </c>
      <c r="AA154">
        <f t="shared" si="48"/>
        <v>1</v>
      </c>
      <c r="AB154" s="94">
        <f t="shared" si="49"/>
        <v>153410.57659836096</v>
      </c>
      <c r="AC154">
        <f>AB154*D154*10000*VLOOKUP(A154,[1]kcal!$A$2:$C$49,3,FALSE)/1000000000000</f>
        <v>0</v>
      </c>
    </row>
    <row r="155" spans="1:29" x14ac:dyDescent="0.25">
      <c r="A155" t="s">
        <v>204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39"/>
        <v>0</v>
      </c>
      <c r="E155" s="171">
        <f t="shared" si="52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53"/>
        <v>0</v>
      </c>
      <c r="P155" s="94">
        <f t="shared" si="43"/>
        <v>0</v>
      </c>
      <c r="Q155" s="180">
        <f t="shared" si="54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55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56"/>
        <v>0</v>
      </c>
      <c r="Z155">
        <f t="shared" si="47"/>
        <v>0</v>
      </c>
      <c r="AA155">
        <f t="shared" si="48"/>
        <v>0</v>
      </c>
      <c r="AB155" s="94">
        <f t="shared" si="49"/>
        <v>0</v>
      </c>
      <c r="AC155">
        <f>AB155*D155*10000*VLOOKUP(A155,[1]kcal!$A$2:$C$49,3,FALSE)/1000000000000</f>
        <v>0</v>
      </c>
    </row>
    <row r="156" spans="1:29" x14ac:dyDescent="0.25">
      <c r="A156" t="s">
        <v>137</v>
      </c>
      <c r="B156" s="171" t="s">
        <v>222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39"/>
        <v>0</v>
      </c>
      <c r="E156" s="171">
        <f t="shared" si="52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53"/>
        <v>0</v>
      </c>
      <c r="P156" s="94">
        <f t="shared" si="43"/>
        <v>0</v>
      </c>
      <c r="Q156" s="180">
        <f t="shared" si="54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55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56"/>
        <v>0</v>
      </c>
      <c r="Z156">
        <f t="shared" si="47"/>
        <v>0</v>
      </c>
      <c r="AA156">
        <f t="shared" si="48"/>
        <v>0</v>
      </c>
      <c r="AB156" s="94">
        <f t="shared" si="49"/>
        <v>0</v>
      </c>
      <c r="AC156">
        <f>AB156*D156*10000*VLOOKUP(A156,[1]kcal!$A$2:$C$49,3,FALSE)/1000000000000</f>
        <v>0</v>
      </c>
    </row>
    <row r="157" spans="1:29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39"/>
        <v>1</v>
      </c>
      <c r="E157" s="171">
        <f t="shared" si="52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53"/>
        <v>-13151.581373695415</v>
      </c>
      <c r="P157" s="94">
        <f t="shared" si="43"/>
        <v>0</v>
      </c>
      <c r="Q157" s="180">
        <f t="shared" si="54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55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56"/>
        <v>0</v>
      </c>
      <c r="Z157">
        <f t="shared" si="47"/>
        <v>0</v>
      </c>
      <c r="AA157">
        <f t="shared" si="48"/>
        <v>1</v>
      </c>
      <c r="AB157" s="94">
        <f t="shared" si="49"/>
        <v>15969.006082579654</v>
      </c>
      <c r="AC157">
        <f>AB157*D157*10000*VLOOKUP(A157,[1]kcal!$A$2:$C$49,3,FALSE)/1000000000000</f>
        <v>2.4272889245521075E-2</v>
      </c>
    </row>
    <row r="158" spans="1:29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39"/>
        <v>0</v>
      </c>
      <c r="E158" s="171">
        <f t="shared" si="52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53"/>
        <v>620445.82725004398</v>
      </c>
      <c r="P158" s="94">
        <f t="shared" si="43"/>
        <v>0</v>
      </c>
      <c r="Q158" s="180">
        <f t="shared" si="54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55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56"/>
        <v>0</v>
      </c>
      <c r="Z158">
        <f t="shared" si="47"/>
        <v>0</v>
      </c>
      <c r="AA158">
        <f t="shared" si="48"/>
        <v>1</v>
      </c>
      <c r="AB158" s="94">
        <f t="shared" si="49"/>
        <v>620445.82725004398</v>
      </c>
      <c r="AC158">
        <f>AB158*D158*10000*VLOOKUP(A158,[1]kcal!$A$2:$C$49,3,FALSE)/1000000000000</f>
        <v>0</v>
      </c>
    </row>
    <row r="159" spans="1:29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39"/>
        <v>1</v>
      </c>
      <c r="E159" s="171">
        <f t="shared" si="52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53"/>
        <v>-197024.06677216437</v>
      </c>
      <c r="P159" s="94">
        <f t="shared" si="43"/>
        <v>0</v>
      </c>
      <c r="Q159" s="180">
        <f t="shared" si="54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55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56"/>
        <v>0</v>
      </c>
      <c r="Z159">
        <f t="shared" si="47"/>
        <v>1</v>
      </c>
      <c r="AA159">
        <f t="shared" si="48"/>
        <v>0</v>
      </c>
      <c r="AB159" s="94">
        <f t="shared" si="49"/>
        <v>15780.226177538038</v>
      </c>
      <c r="AC159">
        <f>AB159*D159*10000*VLOOKUP(A159,[1]kcal!$A$2:$C$49,3,FALSE)/1000000000000</f>
        <v>8.2057176123197795E-3</v>
      </c>
    </row>
    <row r="160" spans="1:29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39"/>
        <v>0</v>
      </c>
      <c r="E160" s="171">
        <f t="shared" si="52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53"/>
        <v>-28548.400000000001</v>
      </c>
      <c r="P160" s="94">
        <f t="shared" si="43"/>
        <v>0</v>
      </c>
      <c r="Q160" s="180">
        <f t="shared" si="54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55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56"/>
        <v>0</v>
      </c>
      <c r="Z160">
        <f t="shared" si="47"/>
        <v>1</v>
      </c>
      <c r="AA160">
        <f t="shared" si="48"/>
        <v>0</v>
      </c>
      <c r="AB160" s="94">
        <f t="shared" si="49"/>
        <v>-28548.400000000001</v>
      </c>
      <c r="AC160">
        <f>AB160*D160*10000*VLOOKUP(A160,[1]kcal!$A$2:$C$49,3,FALSE)/1000000000000</f>
        <v>0</v>
      </c>
    </row>
    <row r="161" spans="1:29" x14ac:dyDescent="0.25">
      <c r="A161" s="171" t="s">
        <v>51</v>
      </c>
      <c r="B161" s="171" t="s">
        <v>224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39"/>
        <v>0</v>
      </c>
      <c r="E161" s="171">
        <f t="shared" si="52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53"/>
        <v>636502.29333281773</v>
      </c>
      <c r="P161" s="94">
        <f t="shared" si="43"/>
        <v>636502.29333281773</v>
      </c>
      <c r="Q161" s="180">
        <f t="shared" si="54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55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56"/>
        <v>0</v>
      </c>
      <c r="Z161">
        <f t="shared" si="47"/>
        <v>0</v>
      </c>
      <c r="AA161">
        <f t="shared" si="48"/>
        <v>1</v>
      </c>
      <c r="AB161" s="94">
        <f t="shared" si="49"/>
        <v>636502.29333281773</v>
      </c>
      <c r="AC161">
        <f>AB161*D161*10000*VLOOKUP(A161,[1]kcal!$A$2:$C$49,3,FALSE)/1000000000000</f>
        <v>0</v>
      </c>
    </row>
    <row r="162" spans="1:29" x14ac:dyDescent="0.25">
      <c r="A162" s="171" t="s">
        <v>203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39"/>
        <v>0</v>
      </c>
      <c r="E162" s="171">
        <f t="shared" si="52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53"/>
        <v>0</v>
      </c>
      <c r="P162" s="94">
        <f t="shared" si="43"/>
        <v>0</v>
      </c>
      <c r="Q162" s="180">
        <f t="shared" si="54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55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56"/>
        <v>0</v>
      </c>
      <c r="Z162">
        <f t="shared" si="47"/>
        <v>0</v>
      </c>
      <c r="AA162">
        <f t="shared" si="48"/>
        <v>0</v>
      </c>
      <c r="AB162" s="94">
        <f t="shared" si="49"/>
        <v>0</v>
      </c>
      <c r="AC162">
        <f>AB162*D162*10000*VLOOKUP(A162,[1]kcal!$A$2:$C$49,3,FALSE)/1000000000000</f>
        <v>0</v>
      </c>
    </row>
    <row r="163" spans="1:29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39"/>
        <v>1</v>
      </c>
      <c r="E163" s="171">
        <f t="shared" si="52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53"/>
        <v>-127585.02725608747</v>
      </c>
      <c r="P163" s="94">
        <f t="shared" si="43"/>
        <v>0</v>
      </c>
      <c r="Q163" s="180">
        <f t="shared" si="54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55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56"/>
        <v>0</v>
      </c>
      <c r="Z163">
        <f t="shared" si="47"/>
        <v>1</v>
      </c>
      <c r="AA163">
        <f t="shared" si="48"/>
        <v>0</v>
      </c>
      <c r="AB163" s="94">
        <f t="shared" si="49"/>
        <v>95299.46904386401</v>
      </c>
      <c r="AC163">
        <f>AB163*D163*10000*VLOOKUP(A163,[1]kcal!$A$2:$C$49,3,FALSE)/1000000000000</f>
        <v>3.7166792927106965E-2</v>
      </c>
    </row>
    <row r="164" spans="1:29" x14ac:dyDescent="0.25">
      <c r="A164" s="171" t="s">
        <v>67</v>
      </c>
      <c r="B164" s="171" t="s">
        <v>227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39"/>
        <v>0</v>
      </c>
      <c r="E164" s="171">
        <f t="shared" si="52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53"/>
        <v>0</v>
      </c>
      <c r="P164" s="94">
        <f t="shared" si="43"/>
        <v>0</v>
      </c>
      <c r="Q164" s="180">
        <f t="shared" si="54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55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56"/>
        <v>622757.24997763557</v>
      </c>
      <c r="Z164">
        <f t="shared" si="47"/>
        <v>0</v>
      </c>
      <c r="AA164">
        <f t="shared" si="48"/>
        <v>0</v>
      </c>
      <c r="AB164" s="94">
        <f t="shared" si="49"/>
        <v>732655.58820898295</v>
      </c>
      <c r="AC164">
        <f>AB164*D164*10000*VLOOKUP(A164,[1]kcal!$A$2:$C$49,3,FALSE)/1000000000000</f>
        <v>0</v>
      </c>
    </row>
    <row r="165" spans="1:29" x14ac:dyDescent="0.25">
      <c r="A165" s="171" t="s">
        <v>162</v>
      </c>
      <c r="B165" s="171" t="s">
        <v>230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39"/>
        <v>0</v>
      </c>
      <c r="E165" s="171">
        <f t="shared" si="52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53"/>
        <v>0</v>
      </c>
      <c r="P165" s="94">
        <f t="shared" si="43"/>
        <v>0</v>
      </c>
      <c r="Q165" s="180">
        <f t="shared" si="54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55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56"/>
        <v>135693.18364487163</v>
      </c>
      <c r="Z165">
        <f t="shared" si="47"/>
        <v>0</v>
      </c>
      <c r="AA165">
        <f t="shared" si="48"/>
        <v>0</v>
      </c>
      <c r="AB165" s="94">
        <f t="shared" si="49"/>
        <v>452310.61214957217</v>
      </c>
      <c r="AC165">
        <f>AB165*D165*10000*VLOOKUP(A165,[1]kcal!$A$2:$C$49,3,FALSE)/1000000000000</f>
        <v>0</v>
      </c>
    </row>
    <row r="166" spans="1:29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39"/>
        <v>1</v>
      </c>
      <c r="E166" s="171">
        <f t="shared" si="52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53"/>
        <v>-592646.72642582108</v>
      </c>
      <c r="P166" s="94">
        <f t="shared" si="43"/>
        <v>0</v>
      </c>
      <c r="Q166" s="180">
        <f t="shared" si="54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55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56"/>
        <v>0</v>
      </c>
      <c r="Z166">
        <f t="shared" si="47"/>
        <v>1</v>
      </c>
      <c r="AA166">
        <f t="shared" si="48"/>
        <v>0</v>
      </c>
      <c r="AB166" s="94">
        <f t="shared" si="49"/>
        <v>-592646.72642582108</v>
      </c>
      <c r="AC166">
        <f>AB166*D166*10000*VLOOKUP(A166,[1]kcal!$A$2:$C$49,3,FALSE)/1000000000000</f>
        <v>-0.33780863406271799</v>
      </c>
    </row>
    <row r="167" spans="1:29" x14ac:dyDescent="0.25">
      <c r="A167" s="171" t="s">
        <v>103</v>
      </c>
      <c r="B167" s="171" t="s">
        <v>230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39"/>
        <v>0</v>
      </c>
      <c r="E167" s="171">
        <f t="shared" si="52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53"/>
        <v>-79270.498677373223</v>
      </c>
      <c r="P167" s="94">
        <f t="shared" si="43"/>
        <v>0</v>
      </c>
      <c r="Q167" s="180">
        <f t="shared" si="54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55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56"/>
        <v>0</v>
      </c>
      <c r="Z167">
        <f t="shared" si="47"/>
        <v>1</v>
      </c>
      <c r="AA167">
        <f t="shared" si="48"/>
        <v>0</v>
      </c>
      <c r="AB167" s="94">
        <f t="shared" si="49"/>
        <v>-79270.498677373223</v>
      </c>
      <c r="AC167">
        <f>AB167*D167*10000*VLOOKUP(A167,[1]kcal!$A$2:$C$49,3,FALSE)/1000000000000</f>
        <v>0</v>
      </c>
    </row>
    <row r="168" spans="1:29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39"/>
        <v>0</v>
      </c>
      <c r="E168" s="171">
        <f t="shared" si="52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53"/>
        <v>145627.35347864506</v>
      </c>
      <c r="P168" s="94">
        <f t="shared" si="43"/>
        <v>0</v>
      </c>
      <c r="Q168" s="180">
        <f t="shared" si="54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55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56"/>
        <v>0</v>
      </c>
      <c r="Z168">
        <f t="shared" si="47"/>
        <v>0</v>
      </c>
      <c r="AA168">
        <f t="shared" si="48"/>
        <v>1</v>
      </c>
      <c r="AB168" s="94">
        <f t="shared" si="49"/>
        <v>145627.35347864506</v>
      </c>
      <c r="AC168">
        <f>AB168*D168*10000*VLOOKUP(A168,[1]kcal!$A$2:$C$49,3,FALSE)/1000000000000</f>
        <v>0</v>
      </c>
    </row>
    <row r="169" spans="1:29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39"/>
        <v>1</v>
      </c>
      <c r="E169" s="171">
        <f t="shared" si="52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53"/>
        <v>14617.738147146345</v>
      </c>
      <c r="P169" s="94">
        <f t="shared" si="43"/>
        <v>0</v>
      </c>
      <c r="Q169" s="180">
        <f t="shared" si="54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55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56"/>
        <v>0</v>
      </c>
      <c r="Z169">
        <f t="shared" si="47"/>
        <v>0</v>
      </c>
      <c r="AA169">
        <f t="shared" si="48"/>
        <v>1</v>
      </c>
      <c r="AB169" s="94">
        <f t="shared" si="49"/>
        <v>116539.79424410909</v>
      </c>
      <c r="AC169">
        <f>AB169*D169*10000*VLOOKUP(A169,[1]kcal!$A$2:$C$49,3,FALSE)/1000000000000</f>
        <v>9.0901039510405096E-2</v>
      </c>
    </row>
    <row r="170" spans="1:29" x14ac:dyDescent="0.25">
      <c r="A170" s="171" t="s">
        <v>48</v>
      </c>
      <c r="B170" s="171" t="s">
        <v>227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39"/>
        <v>1</v>
      </c>
      <c r="E170" s="171">
        <f t="shared" si="52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53"/>
        <v>1301921.4452316216</v>
      </c>
      <c r="P170" s="94">
        <f t="shared" si="43"/>
        <v>1301921.4452316216</v>
      </c>
      <c r="Q170" s="180">
        <f t="shared" si="54"/>
        <v>942.6064741945944</v>
      </c>
      <c r="R170">
        <f>IFERROR(VLOOKUP(A170,[1]Energiindhold!$A$2:$C$11,3,FALSE),IFERROR(VLOOKUP(A170,[1]Biogasudbytte!$A$2:$B$18,2,FALSE)*[1]Energiindhold!$C$10,0))*P170</f>
        <v>4.4588986809159721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55"/>
        <v>0</v>
      </c>
      <c r="V170" s="169">
        <f>P170*IFERROR(VLOOKUP(A170,[1]Tørstofindhold!A$2:B$24,2,FALSE),0)</f>
        <v>403595.64802180271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56"/>
        <v>0</v>
      </c>
      <c r="Z170">
        <f t="shared" si="47"/>
        <v>0</v>
      </c>
      <c r="AA170">
        <f t="shared" si="48"/>
        <v>1</v>
      </c>
      <c r="AB170" s="94">
        <f t="shared" si="49"/>
        <v>1546086.3708265433</v>
      </c>
      <c r="AC170">
        <f>AB170*D170*10000*VLOOKUP(A170,[1]kcal!$A$2:$C$49,3,FALSE)/1000000000000</f>
        <v>5.6586761172251485</v>
      </c>
    </row>
    <row r="171" spans="1:29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39"/>
        <v>0</v>
      </c>
      <c r="E171" s="171">
        <f t="shared" si="52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53"/>
        <v>-374820.3560243976</v>
      </c>
      <c r="P171" s="94">
        <f t="shared" si="43"/>
        <v>0</v>
      </c>
      <c r="Q171" s="180">
        <f t="shared" si="54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55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56"/>
        <v>0</v>
      </c>
      <c r="Z171">
        <f t="shared" ca="1" si="47"/>
        <v>1</v>
      </c>
      <c r="AA171">
        <f t="shared" ca="1" si="48"/>
        <v>0</v>
      </c>
      <c r="AB171" s="94">
        <f t="shared" ca="1" si="49"/>
        <v>-374820.3560243976</v>
      </c>
      <c r="AC171">
        <f ca="1">AB171*D171*10000*VLOOKUP(A171,[1]kcal!$A$2:$C$49,3,FALSE)/1000000000000</f>
        <v>0</v>
      </c>
    </row>
    <row r="172" spans="1:29" x14ac:dyDescent="0.25">
      <c r="A172" s="171" t="s">
        <v>136</v>
      </c>
      <c r="B172" s="171" t="s">
        <v>222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39"/>
        <v>0</v>
      </c>
      <c r="E172" s="171">
        <f t="shared" si="52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53"/>
        <v>0</v>
      </c>
      <c r="P172" s="94">
        <f t="shared" si="43"/>
        <v>0</v>
      </c>
      <c r="Q172" s="180">
        <f t="shared" si="54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55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56"/>
        <v>0</v>
      </c>
      <c r="Z172">
        <f t="shared" si="47"/>
        <v>0</v>
      </c>
      <c r="AA172">
        <f t="shared" si="48"/>
        <v>0</v>
      </c>
      <c r="AB172" s="94">
        <f t="shared" si="49"/>
        <v>0</v>
      </c>
      <c r="AC172">
        <f>AB172*D172*10000*VLOOKUP(A172,[1]kcal!$A$2:$C$49,3,FALSE)/1000000000000</f>
        <v>0</v>
      </c>
    </row>
    <row r="173" spans="1:29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39"/>
        <v>0</v>
      </c>
      <c r="E173" s="171">
        <f t="shared" si="52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53"/>
        <v>-70551.412916692323</v>
      </c>
      <c r="P173" s="94">
        <f t="shared" si="43"/>
        <v>0</v>
      </c>
      <c r="Q173" s="180">
        <f t="shared" si="54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55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56"/>
        <v>0</v>
      </c>
      <c r="Z173">
        <f t="shared" si="47"/>
        <v>0</v>
      </c>
      <c r="AA173">
        <f t="shared" si="48"/>
        <v>1</v>
      </c>
      <c r="AB173" s="94">
        <f t="shared" si="49"/>
        <v>-70551.412916692323</v>
      </c>
      <c r="AC173">
        <f>AB173*D173*10000*VLOOKUP(A173,[1]kcal!$A$2:$C$49,3,FALSE)/1000000000000</f>
        <v>0</v>
      </c>
    </row>
    <row r="174" spans="1:29" x14ac:dyDescent="0.25">
      <c r="A174" t="s">
        <v>53</v>
      </c>
      <c r="B174" s="171" t="s">
        <v>224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39"/>
        <v>1</v>
      </c>
      <c r="E174" s="171">
        <f t="shared" si="52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53"/>
        <v>-344258.58126598754</v>
      </c>
      <c r="P174" s="94">
        <f t="shared" si="43"/>
        <v>0</v>
      </c>
      <c r="Q174" s="180">
        <f t="shared" si="54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55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56"/>
        <v>0</v>
      </c>
      <c r="Z174">
        <f t="shared" si="47"/>
        <v>0</v>
      </c>
      <c r="AA174">
        <f t="shared" si="48"/>
        <v>1</v>
      </c>
      <c r="AB174" s="94">
        <f t="shared" si="49"/>
        <v>-344258.58126598754</v>
      </c>
      <c r="AC174">
        <f>AB174*D174*10000*VLOOKUP(A174,[1]kcal!$A$2:$C$49,3,FALSE)/1000000000000</f>
        <v>-0.31327530895204864</v>
      </c>
    </row>
    <row r="175" spans="1:29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39"/>
        <v>1</v>
      </c>
      <c r="E175" s="171">
        <f t="shared" si="52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53"/>
        <v>-166933.87454175885</v>
      </c>
      <c r="P175" s="94">
        <f t="shared" si="43"/>
        <v>0</v>
      </c>
      <c r="Q175" s="180">
        <f t="shared" si="54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55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56"/>
        <v>0</v>
      </c>
      <c r="Z175">
        <f t="shared" si="47"/>
        <v>0</v>
      </c>
      <c r="AA175">
        <f t="shared" si="48"/>
        <v>1</v>
      </c>
      <c r="AB175" s="94">
        <f t="shared" si="49"/>
        <v>222833.98833453824</v>
      </c>
      <c r="AC175">
        <f>AB175*D175*10000*VLOOKUP(A175,[1]kcal!$A$2:$C$49,3,FALSE)/1000000000000</f>
        <v>0.1403854126507591</v>
      </c>
    </row>
    <row r="176" spans="1:29" x14ac:dyDescent="0.25">
      <c r="A176" s="171" t="s">
        <v>106</v>
      </c>
      <c r="B176" s="171" t="s">
        <v>226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39"/>
        <v>1</v>
      </c>
      <c r="E176" s="171">
        <f t="shared" si="52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53"/>
        <v>1.1976865502381491</v>
      </c>
      <c r="P176" s="94">
        <f t="shared" si="43"/>
        <v>1.1976865502381491</v>
      </c>
      <c r="Q176" s="180">
        <f t="shared" si="54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55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56"/>
        <v>0</v>
      </c>
      <c r="Z176">
        <f t="shared" si="47"/>
        <v>0</v>
      </c>
      <c r="AA176">
        <f t="shared" si="48"/>
        <v>1</v>
      </c>
      <c r="AB176" s="94">
        <f t="shared" si="49"/>
        <v>1.1976865502381491</v>
      </c>
      <c r="AC176">
        <f>AB176*D176*10000*VLOOKUP(A176,[1]kcal!$A$2:$C$49,3,FALSE)/1000000000000</f>
        <v>9.9407983669766362E-7</v>
      </c>
    </row>
    <row r="177" spans="1:29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39"/>
        <v>1</v>
      </c>
      <c r="E177" s="171">
        <f t="shared" si="52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53"/>
        <v>-41950.335705993944</v>
      </c>
      <c r="P177" s="94">
        <f t="shared" si="43"/>
        <v>0</v>
      </c>
      <c r="Q177" s="180">
        <f t="shared" si="54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55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56"/>
        <v>0</v>
      </c>
      <c r="Z177">
        <f t="shared" si="47"/>
        <v>0</v>
      </c>
      <c r="AA177">
        <f t="shared" si="48"/>
        <v>1</v>
      </c>
      <c r="AB177" s="94">
        <f t="shared" si="49"/>
        <v>7577.0634215631153</v>
      </c>
      <c r="AC177">
        <f>AB177*D177*10000*VLOOKUP(A177,[1]kcal!$A$2:$C$49,3,FALSE)/1000000000000</f>
        <v>1.4775273672048075E-2</v>
      </c>
    </row>
    <row r="178" spans="1:29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39"/>
        <v>1</v>
      </c>
      <c r="E178" s="171">
        <f t="shared" si="52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53"/>
        <v>395448.91426064254</v>
      </c>
      <c r="P178" s="94">
        <f t="shared" si="43"/>
        <v>0</v>
      </c>
      <c r="Q178" s="180">
        <f t="shared" si="54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55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56"/>
        <v>0</v>
      </c>
      <c r="Z178">
        <f t="shared" si="47"/>
        <v>0</v>
      </c>
      <c r="AA178">
        <f t="shared" si="48"/>
        <v>1</v>
      </c>
      <c r="AB178" s="94">
        <f t="shared" si="49"/>
        <v>395448.91426064254</v>
      </c>
      <c r="AC178">
        <f>AB178*D178*10000*VLOOKUP(A178,[1]kcal!$A$2:$C$49,3,FALSE)/1000000000000</f>
        <v>0.15422507656165058</v>
      </c>
    </row>
    <row r="179" spans="1:29" x14ac:dyDescent="0.25">
      <c r="A179" s="171" t="s">
        <v>95</v>
      </c>
      <c r="B179" s="171" t="s">
        <v>225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39"/>
        <v>0</v>
      </c>
      <c r="E179" s="171">
        <f t="shared" si="52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53"/>
        <v>0</v>
      </c>
      <c r="P179" s="94">
        <f t="shared" si="43"/>
        <v>0</v>
      </c>
      <c r="Q179" s="180">
        <f t="shared" si="54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55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56"/>
        <v>16127.04781897025</v>
      </c>
      <c r="Z179">
        <f t="shared" si="47"/>
        <v>0</v>
      </c>
      <c r="AA179">
        <f t="shared" si="48"/>
        <v>0</v>
      </c>
      <c r="AB179" s="94">
        <f t="shared" si="49"/>
        <v>38860.356190289756</v>
      </c>
      <c r="AC179">
        <f>AB179*D179*10000*VLOOKUP(A179,[1]kcal!$A$2:$C$49,3,FALSE)/1000000000000</f>
        <v>0</v>
      </c>
    </row>
    <row r="180" spans="1:29" x14ac:dyDescent="0.25">
      <c r="A180" s="171" t="s">
        <v>306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39"/>
        <v>0</v>
      </c>
      <c r="E180" s="171">
        <f t="shared" si="52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 t="shared" ref="O180:O181" si="57">G180-SUM(H180:N180)</f>
        <v>0</v>
      </c>
      <c r="P180" s="94">
        <f t="shared" si="43"/>
        <v>0</v>
      </c>
      <c r="Q180" s="180">
        <f t="shared" ref="Q180:Q181" si="58"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 t="shared" ref="U180:U181" si="59"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 t="shared" ref="Y180:Y181" si="60">W180-X180</f>
        <v>0</v>
      </c>
      <c r="Z180">
        <f t="shared" si="47"/>
        <v>0</v>
      </c>
      <c r="AA180">
        <f t="shared" si="48"/>
        <v>0</v>
      </c>
      <c r="AB180" s="94">
        <f t="shared" si="49"/>
        <v>0</v>
      </c>
      <c r="AC180">
        <f>AB180*D180*10000*VLOOKUP(A180,[1]kcal!$A$2:$C$49,3,FALSE)/1000000000000</f>
        <v>0</v>
      </c>
    </row>
    <row r="181" spans="1:29" x14ac:dyDescent="0.25">
      <c r="A181" s="171" t="s">
        <v>307</v>
      </c>
      <c r="B181" s="171" t="s">
        <v>312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61">D133</f>
        <v>0</v>
      </c>
      <c r="E181" s="171">
        <f t="shared" si="52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 t="shared" si="57"/>
        <v>0</v>
      </c>
      <c r="P181" s="94">
        <f t="shared" si="43"/>
        <v>0</v>
      </c>
      <c r="Q181" s="180">
        <f t="shared" si="58"/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 t="shared" si="59"/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 t="shared" si="60"/>
        <v>0</v>
      </c>
      <c r="Z181">
        <f t="shared" si="47"/>
        <v>0</v>
      </c>
      <c r="AA181">
        <f t="shared" si="48"/>
        <v>0</v>
      </c>
      <c r="AB181" s="94">
        <f t="shared" si="49"/>
        <v>0</v>
      </c>
      <c r="AC181">
        <f>AB181*D181*10000*VLOOKUP(A181,[1]kcal!$A$2:$C$49,3,FALSE)/1000000000000</f>
        <v>0</v>
      </c>
    </row>
    <row r="182" spans="1:29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61"/>
        <v>0</v>
      </c>
      <c r="E182" s="171">
        <f t="shared" si="52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53"/>
        <v>346998.01962126989</v>
      </c>
      <c r="P182" s="94">
        <f t="shared" si="43"/>
        <v>0</v>
      </c>
      <c r="Q182" s="180">
        <f t="shared" si="54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55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56"/>
        <v>0</v>
      </c>
      <c r="Z182">
        <f t="shared" si="47"/>
        <v>0</v>
      </c>
      <c r="AA182">
        <f t="shared" si="48"/>
        <v>1</v>
      </c>
      <c r="AB182" s="94">
        <f t="shared" si="49"/>
        <v>346998.01962126989</v>
      </c>
      <c r="AC182">
        <f>AB182*D182*10000*VLOOKUP(A182,[1]kcal!$A$2:$C$49,3,FALSE)/1000000000000</f>
        <v>0</v>
      </c>
    </row>
    <row r="183" spans="1:29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61"/>
        <v>0</v>
      </c>
      <c r="E183" s="171">
        <f t="shared" si="52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53"/>
        <v>0</v>
      </c>
      <c r="P183" s="94">
        <f t="shared" si="43"/>
        <v>0</v>
      </c>
      <c r="Q183" s="180">
        <f t="shared" si="54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55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56"/>
        <v>0</v>
      </c>
      <c r="Z183">
        <f t="shared" si="47"/>
        <v>0</v>
      </c>
      <c r="AA183">
        <f t="shared" si="48"/>
        <v>0</v>
      </c>
      <c r="AB183" s="94">
        <f t="shared" si="49"/>
        <v>192563.22613808865</v>
      </c>
      <c r="AC183">
        <f>AB183*D183*10000*VLOOKUP(A183,[1]kcal!$A$2:$C$49,3,FALSE)/1000000000000</f>
        <v>0</v>
      </c>
    </row>
    <row r="184" spans="1:29" x14ac:dyDescent="0.25">
      <c r="A184" t="s">
        <v>238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61"/>
        <v>0</v>
      </c>
      <c r="E184" s="171">
        <f t="shared" si="52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53"/>
        <v>70002.843567045958</v>
      </c>
      <c r="P184" s="94">
        <f t="shared" si="43"/>
        <v>0</v>
      </c>
      <c r="Q184" s="180">
        <f t="shared" si="54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55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56"/>
        <v>0</v>
      </c>
      <c r="Z184">
        <f t="shared" si="47"/>
        <v>0</v>
      </c>
      <c r="AA184">
        <f t="shared" si="48"/>
        <v>1</v>
      </c>
      <c r="AB184" s="94">
        <f t="shared" si="49"/>
        <v>70002.843567045958</v>
      </c>
      <c r="AC184">
        <f>AB184*D184*10000*VLOOKUP(A184,[1]kcal!$A$2:$C$49,3,FALSE)/1000000000000</f>
        <v>0</v>
      </c>
    </row>
    <row r="185" spans="1:29" x14ac:dyDescent="0.25">
      <c r="A185" t="s">
        <v>231</v>
      </c>
      <c r="B185" s="171" t="s">
        <v>231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61"/>
        <v>1</v>
      </c>
      <c r="E185" s="171">
        <f t="shared" si="52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53"/>
        <v>0</v>
      </c>
      <c r="P185" s="94">
        <f t="shared" si="43"/>
        <v>0</v>
      </c>
      <c r="Q185" s="180">
        <f t="shared" si="54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55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56"/>
        <v>0</v>
      </c>
      <c r="Z185">
        <f t="shared" si="47"/>
        <v>0</v>
      </c>
      <c r="AA185">
        <f t="shared" si="48"/>
        <v>0</v>
      </c>
      <c r="AB185" s="94">
        <f t="shared" si="49"/>
        <v>61620.23236418837</v>
      </c>
      <c r="AC185">
        <f>AB185*D185*10000*VLOOKUP(A185,[1]kcal!$A$2:$C$49,3,FALSE)/1000000000000</f>
        <v>0.55458209127769531</v>
      </c>
    </row>
    <row r="186" spans="1:29" x14ac:dyDescent="0.25">
      <c r="A186" t="s">
        <v>52</v>
      </c>
      <c r="B186" s="171" t="s">
        <v>224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61"/>
        <v>1</v>
      </c>
      <c r="E186" s="171">
        <f t="shared" si="52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53"/>
        <v>2105567.5565972263</v>
      </c>
      <c r="P186" s="94">
        <f t="shared" si="43"/>
        <v>1637775.5474174484</v>
      </c>
      <c r="Q186" s="180">
        <f t="shared" si="54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55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56"/>
        <v>0</v>
      </c>
      <c r="Z186">
        <f t="shared" si="47"/>
        <v>0</v>
      </c>
      <c r="AA186">
        <f t="shared" si="48"/>
        <v>1</v>
      </c>
      <c r="AB186" s="94">
        <f t="shared" si="49"/>
        <v>2105567.5565972263</v>
      </c>
      <c r="AC186">
        <f>AB186*D186*10000*VLOOKUP(A186,[1]kcal!$A$2:$C$49,3,FALSE)/1000000000000</f>
        <v>0.63167026697916784</v>
      </c>
    </row>
    <row r="187" spans="1:29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61"/>
        <v>0</v>
      </c>
      <c r="E187" s="171">
        <f t="shared" si="52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53"/>
        <v>23179.475218292017</v>
      </c>
      <c r="P187" s="94">
        <f t="shared" si="43"/>
        <v>0</v>
      </c>
      <c r="Q187" s="180">
        <f t="shared" si="54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55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56"/>
        <v>0</v>
      </c>
      <c r="Z187">
        <f t="shared" si="47"/>
        <v>0</v>
      </c>
      <c r="AA187">
        <f t="shared" si="48"/>
        <v>1</v>
      </c>
      <c r="AB187" s="94">
        <f t="shared" si="49"/>
        <v>23179.475218292017</v>
      </c>
      <c r="AC187">
        <f>AB187*D187*10000*VLOOKUP(A187,[1]kcal!$A$2:$C$49,3,FALSE)/1000000000000</f>
        <v>0</v>
      </c>
    </row>
    <row r="188" spans="1:29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61"/>
        <v>0</v>
      </c>
      <c r="E188" s="171">
        <f t="shared" si="52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53"/>
        <v>14085.970705770382</v>
      </c>
      <c r="P188" s="94">
        <f t="shared" si="43"/>
        <v>0</v>
      </c>
      <c r="Q188" s="180">
        <f t="shared" si="54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55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56"/>
        <v>0</v>
      </c>
      <c r="Z188">
        <f t="shared" si="47"/>
        <v>0</v>
      </c>
      <c r="AA188">
        <f t="shared" si="48"/>
        <v>1</v>
      </c>
      <c r="AB188" s="94">
        <f t="shared" si="49"/>
        <v>14085.970705770382</v>
      </c>
      <c r="AC188">
        <f>AB188*D188*10000*VLOOKUP(A188,[1]kcal!$A$2:$C$49,3,FALSE)/1000000000000</f>
        <v>0</v>
      </c>
    </row>
    <row r="189" spans="1:29" x14ac:dyDescent="0.25">
      <c r="A189" s="171" t="s">
        <v>140</v>
      </c>
      <c r="B189" s="171" t="s">
        <v>230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61"/>
        <v>0</v>
      </c>
      <c r="E189" s="171">
        <f t="shared" si="52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53"/>
        <v>1978309.9489030582</v>
      </c>
      <c r="P189" s="94">
        <f t="shared" si="43"/>
        <v>1978309.9489030582</v>
      </c>
      <c r="Q189" s="180">
        <f t="shared" si="54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55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56"/>
        <v>0</v>
      </c>
      <c r="Z189">
        <f t="shared" si="47"/>
        <v>0</v>
      </c>
      <c r="AA189">
        <f t="shared" si="48"/>
        <v>1</v>
      </c>
      <c r="AB189" s="94">
        <f t="shared" si="49"/>
        <v>1978309.9489030582</v>
      </c>
      <c r="AC189">
        <f>AB189*D189*10000*VLOOKUP(A189,[1]kcal!$A$2:$C$49,3,FALSE)/1000000000000</f>
        <v>0</v>
      </c>
    </row>
    <row r="190" spans="1:29" x14ac:dyDescent="0.25">
      <c r="A190" s="171" t="s">
        <v>135</v>
      </c>
      <c r="B190" s="171" t="s">
        <v>222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61"/>
        <v>0</v>
      </c>
      <c r="E190" s="171">
        <f t="shared" si="52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53"/>
        <v>0</v>
      </c>
      <c r="P190" s="94">
        <f t="shared" si="43"/>
        <v>0</v>
      </c>
      <c r="Q190" s="180">
        <f t="shared" si="54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55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56"/>
        <v>0</v>
      </c>
      <c r="Z190">
        <f t="shared" si="47"/>
        <v>0</v>
      </c>
      <c r="AA190">
        <f t="shared" si="48"/>
        <v>0</v>
      </c>
      <c r="AB190" s="94">
        <f t="shared" si="49"/>
        <v>0</v>
      </c>
      <c r="AC190">
        <f>AB190*D190*10000*VLOOKUP(A190,[1]kcal!$A$2:$C$49,3,FALSE)/1000000000000</f>
        <v>0</v>
      </c>
    </row>
    <row r="191" spans="1:29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61"/>
        <v>1</v>
      </c>
      <c r="E191" s="171">
        <f t="shared" si="52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53"/>
        <v>106195.08352871139</v>
      </c>
      <c r="P191" s="94">
        <f t="shared" si="43"/>
        <v>0</v>
      </c>
      <c r="Q191" s="180">
        <f t="shared" si="54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55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56"/>
        <v>0</v>
      </c>
      <c r="Z191">
        <f t="shared" si="47"/>
        <v>0</v>
      </c>
      <c r="AA191">
        <f t="shared" si="48"/>
        <v>1</v>
      </c>
      <c r="AB191" s="94">
        <f t="shared" si="49"/>
        <v>206750.71206041813</v>
      </c>
      <c r="AC191">
        <f>AB191*D191*10000*VLOOKUP(A191,[1]kcal!$A$2:$C$49,3,FALSE)/1000000000000</f>
        <v>0.40316388851781537</v>
      </c>
    </row>
    <row r="192" spans="1:29" x14ac:dyDescent="0.25">
      <c r="A192" s="171" t="s">
        <v>99</v>
      </c>
      <c r="B192" s="171" t="s">
        <v>226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61"/>
        <v>1</v>
      </c>
      <c r="E192" s="171">
        <f t="shared" si="52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53"/>
        <v>0</v>
      </c>
      <c r="P192" s="94">
        <f t="shared" si="43"/>
        <v>0</v>
      </c>
      <c r="Q192" s="180">
        <f t="shared" si="54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55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56"/>
        <v>0</v>
      </c>
      <c r="Z192">
        <f t="shared" si="47"/>
        <v>0</v>
      </c>
      <c r="AA192">
        <f t="shared" si="48"/>
        <v>1</v>
      </c>
      <c r="AB192" s="94">
        <f t="shared" si="49"/>
        <v>0</v>
      </c>
      <c r="AC192">
        <f>AB192*D192*10000*VLOOKUP(A192,[1]kcal!$A$2:$C$49,3,FALSE)/1000000000000</f>
        <v>0</v>
      </c>
    </row>
    <row r="193" spans="1:29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61"/>
        <v>0</v>
      </c>
      <c r="E193" s="171">
        <f t="shared" si="52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53"/>
        <v>0</v>
      </c>
      <c r="P193" s="94">
        <f t="shared" si="43"/>
        <v>0</v>
      </c>
      <c r="Q193" s="180">
        <f t="shared" si="54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55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56"/>
        <v>0</v>
      </c>
      <c r="Z193">
        <f t="shared" si="47"/>
        <v>0</v>
      </c>
      <c r="AA193">
        <f t="shared" si="48"/>
        <v>0</v>
      </c>
      <c r="AB193" s="94">
        <f t="shared" si="49"/>
        <v>0</v>
      </c>
      <c r="AC193">
        <f>AB193*D193*10000*VLOOKUP(A193,[1]kcal!$A$2:$C$49,3,FALSE)/1000000000000</f>
        <v>0</v>
      </c>
    </row>
    <row r="194" spans="1:29" x14ac:dyDescent="0.25">
      <c r="A194" s="171" t="s">
        <v>119</v>
      </c>
      <c r="B194" s="171" t="s">
        <v>225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61"/>
        <v>0</v>
      </c>
      <c r="E194" s="171">
        <f t="shared" si="52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53"/>
        <v>0</v>
      </c>
      <c r="P194" s="94">
        <f t="shared" ca="1" si="43"/>
        <v>0</v>
      </c>
      <c r="Q194" s="180">
        <f t="shared" ca="1" si="54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55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56"/>
        <v>337115.41074636247</v>
      </c>
      <c r="Z194">
        <f t="shared" ca="1" si="47"/>
        <v>0</v>
      </c>
      <c r="AA194">
        <f t="shared" ca="1" si="48"/>
        <v>0</v>
      </c>
      <c r="AB194" s="94">
        <f t="shared" ca="1" si="49"/>
        <v>681614.98381741357</v>
      </c>
      <c r="AC194">
        <f ca="1">AB194*D194*10000*VLOOKUP(A194,[1]kcal!$A$2:$C$49,3,FALSE)/1000000000000</f>
        <v>0</v>
      </c>
    </row>
    <row r="195" spans="1:29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61"/>
        <v>0</v>
      </c>
      <c r="E195" s="171">
        <f t="shared" si="52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53"/>
        <v>0</v>
      </c>
      <c r="P195" s="94">
        <f t="shared" si="43"/>
        <v>0</v>
      </c>
      <c r="Q195" s="180">
        <f t="shared" si="54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55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56"/>
        <v>0</v>
      </c>
      <c r="Z195">
        <f t="shared" ca="1" si="47"/>
        <v>0</v>
      </c>
      <c r="AA195">
        <f t="shared" ca="1" si="48"/>
        <v>0</v>
      </c>
      <c r="AB195" s="94">
        <f t="shared" ca="1" si="49"/>
        <v>187416.40966897184</v>
      </c>
      <c r="AC195">
        <f ca="1">AB195*D195*10000*VLOOKUP(A195,[1]kcal!$A$2:$C$49,3,FALSE)/1000000000000</f>
        <v>0</v>
      </c>
    </row>
    <row r="196" spans="1:29" x14ac:dyDescent="0.25">
      <c r="A196" s="171" t="str">
        <f t="shared" ref="A196:A227" si="62">A148</f>
        <v>Æg</v>
      </c>
      <c r="B196" s="171" t="str">
        <f t="shared" ref="B196:B227" si="63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61"/>
        <v>1</v>
      </c>
      <c r="E196" s="171">
        <f t="shared" ref="E196:E243" si="64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17943.479437897957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53"/>
        <v>-10265.860686730583</v>
      </c>
      <c r="P196" s="94">
        <f t="shared" ref="P196:P259" si="65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54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55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56"/>
        <v>0</v>
      </c>
      <c r="Z196">
        <f t="shared" ref="Z196:Z259" si="66">IF(SUMIFS($O$4:$O$291,$A$4:$A$291,A196,$E$4:$E$291,E196)&lt;0,1,0)</f>
        <v>0</v>
      </c>
      <c r="AA196">
        <f t="shared" ref="AA196:AA259" si="67">IF(SUMIFS($O$4:$O$291,$A$4:$A$291,A196,$E$4:$E$291,E196)&gt;0,1,0)</f>
        <v>1</v>
      </c>
      <c r="AB196" s="94">
        <f t="shared" si="49"/>
        <v>17943.479437897957</v>
      </c>
      <c r="AC196">
        <f>AB196*D196*10000*VLOOKUP(A196,[1]kcal!$A$2:$C$49,3,FALSE)/1000000000000</f>
        <v>2.4762001624299181E-2</v>
      </c>
    </row>
    <row r="197" spans="1:29" x14ac:dyDescent="0.25">
      <c r="A197" s="171" t="str">
        <f t="shared" si="62"/>
        <v>Bælgsæd</v>
      </c>
      <c r="B197" s="171" t="str">
        <f t="shared" si="63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61"/>
        <v>1</v>
      </c>
      <c r="E197" s="171">
        <f t="shared" si="64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28047.573536439377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7686.2399260183547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53"/>
        <v>20361.333610421021</v>
      </c>
      <c r="P197" s="94">
        <f t="shared" si="65"/>
        <v>0</v>
      </c>
      <c r="Q197" s="180">
        <f t="shared" si="54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55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56"/>
        <v>0</v>
      </c>
      <c r="Z197">
        <f t="shared" si="66"/>
        <v>0</v>
      </c>
      <c r="AA197">
        <f t="shared" si="67"/>
        <v>1</v>
      </c>
      <c r="AB197" s="94">
        <f t="shared" ref="AB197:AB260" si="68">G197-SUMPRODUCT($H$2:$N$2,H197:N197)</f>
        <v>20361.333610421021</v>
      </c>
      <c r="AC197">
        <f>AB197*D197*10000*VLOOKUP(A197,[1]kcal!$A$2:$C$49,3,FALSE)/1000000000000</f>
        <v>0.14140946192437398</v>
      </c>
    </row>
    <row r="198" spans="1:29" x14ac:dyDescent="0.25">
      <c r="A198" s="171" t="str">
        <f t="shared" si="62"/>
        <v>Bioaffald</v>
      </c>
      <c r="B198" s="171" t="str">
        <f t="shared" si="63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61"/>
        <v>0</v>
      </c>
      <c r="E198" s="171">
        <f t="shared" si="64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53"/>
        <v>0</v>
      </c>
      <c r="P198" s="94">
        <f t="shared" ca="1" si="65"/>
        <v>0</v>
      </c>
      <c r="Q198" s="180">
        <f t="shared" ca="1" si="54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55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56"/>
        <v>47295.568812341364</v>
      </c>
      <c r="Z198">
        <f t="shared" ca="1" si="66"/>
        <v>0</v>
      </c>
      <c r="AA198">
        <f t="shared" ca="1" si="67"/>
        <v>0</v>
      </c>
      <c r="AB198" s="94">
        <f t="shared" ca="1" si="68"/>
        <v>168912.745758362</v>
      </c>
      <c r="AC198">
        <f ca="1">AB198*D198*10000*VLOOKUP(A198,[1]kcal!$A$2:$C$49,3,FALSE)/1000000000000</f>
        <v>0</v>
      </c>
    </row>
    <row r="199" spans="1:29" x14ac:dyDescent="0.25">
      <c r="A199" s="171" t="str">
        <f t="shared" si="62"/>
        <v>Biogas</v>
      </c>
      <c r="B199" s="171" t="str">
        <f t="shared" si="63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61"/>
        <v>0</v>
      </c>
      <c r="E199" s="171">
        <f t="shared" si="64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107723774.7744855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107723774.7744855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53"/>
        <v>0</v>
      </c>
      <c r="P199" s="94">
        <f t="shared" ca="1" si="65"/>
        <v>0</v>
      </c>
      <c r="Q199" s="180">
        <f t="shared" ca="1" si="54"/>
        <v>107723774.7744855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55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56"/>
        <v>0</v>
      </c>
      <c r="Z199">
        <f t="shared" ca="1" si="66"/>
        <v>0</v>
      </c>
      <c r="AA199">
        <f t="shared" ca="1" si="67"/>
        <v>0</v>
      </c>
      <c r="AB199" s="94">
        <f t="shared" ca="1" si="68"/>
        <v>107723774.7744855</v>
      </c>
      <c r="AC199">
        <f ca="1">AB199*D199*10000*VLOOKUP(A199,[1]kcal!$A$2:$C$49,3,FALSE)/1000000000000</f>
        <v>0</v>
      </c>
    </row>
    <row r="200" spans="1:29" x14ac:dyDescent="0.25">
      <c r="A200" s="171" t="str">
        <f t="shared" si="62"/>
        <v>Biogasgylle</v>
      </c>
      <c r="B200" s="171" t="str">
        <f t="shared" si="63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61"/>
        <v>0</v>
      </c>
      <c r="E200" s="171">
        <f t="shared" si="64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4979961.0474174749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4017892.007010099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53"/>
        <v>962069.0404073759</v>
      </c>
      <c r="P200" s="94">
        <f t="shared" si="65"/>
        <v>0</v>
      </c>
      <c r="Q200" s="180">
        <f t="shared" si="54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55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56"/>
        <v>0</v>
      </c>
      <c r="Z200">
        <f t="shared" ca="1" si="66"/>
        <v>0</v>
      </c>
      <c r="AA200">
        <f t="shared" ca="1" si="67"/>
        <v>1</v>
      </c>
      <c r="AB200" s="94">
        <f t="shared" ca="1" si="68"/>
        <v>962069.0404073759</v>
      </c>
      <c r="AC200">
        <f ca="1">AB200*D200*10000*VLOOKUP(A200,[1]kcal!$A$2:$C$49,3,FALSE)/1000000000000</f>
        <v>0</v>
      </c>
    </row>
    <row r="201" spans="1:29" x14ac:dyDescent="0.25">
      <c r="A201" s="171" t="str">
        <f t="shared" si="62"/>
        <v>Brun saft</v>
      </c>
      <c r="B201" s="171" t="str">
        <f t="shared" si="63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61"/>
        <v>0</v>
      </c>
      <c r="E201" s="171">
        <f t="shared" si="64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0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0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53"/>
        <v>0</v>
      </c>
      <c r="P201" s="94">
        <f t="shared" si="65"/>
        <v>0</v>
      </c>
      <c r="Q201" s="180">
        <f t="shared" si="54"/>
        <v>0</v>
      </c>
      <c r="R201">
        <f>IFERROR(VLOOKUP(A201,[1]Energiindhold!$A$2:$C$11,3,FALSE),IFERROR(VLOOKUP(A201,[1]Biogasudbytte!$A$2:$B$18,2,FALSE)*[1]Energiindhold!$C$10,0))*P201</f>
        <v>0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</v>
      </c>
      <c r="T201">
        <f>IFERROR(VLOOKUP(A201,[1]Biogasudbytte!$A$2:$B$18,2,FALSE)*[1]Energiindhold!$C$10,0)*K201*IFERROR(VLOOKUP(A201,Biogasanlæg!$F$3:$G$8,2,FALSE),1)</f>
        <v>0</v>
      </c>
      <c r="U201" s="170">
        <f t="shared" si="55"/>
        <v>0</v>
      </c>
      <c r="V201" s="169">
        <f>P201*IFERROR(VLOOKUP(A201,[1]Tørstofindhold!A$2:B$24,2,FALSE),0)</f>
        <v>0</v>
      </c>
      <c r="W201">
        <f>IF(E201=År1,Q201,SUM(P201,Q201))*IFERROR(VLOOKUP(A201,[1]Tørstofindhold!A$2:B$24,2,FALSE),0)</f>
        <v>0</v>
      </c>
      <c r="X201">
        <f>K201*IFERROR(VLOOKUP(A201,[1]Tørstofindhold!A$2:B$24,2,FALSE),0)</f>
        <v>0</v>
      </c>
      <c r="Y201" s="170">
        <f t="shared" si="56"/>
        <v>0</v>
      </c>
      <c r="Z201">
        <f t="shared" si="66"/>
        <v>0</v>
      </c>
      <c r="AA201">
        <f t="shared" si="67"/>
        <v>0</v>
      </c>
      <c r="AB201" s="94">
        <f t="shared" si="68"/>
        <v>0</v>
      </c>
      <c r="AC201">
        <f>AB201*D201*10000*VLOOKUP(A201,[1]kcal!$A$2:$C$49,3,FALSE)/1000000000000</f>
        <v>0</v>
      </c>
    </row>
    <row r="202" spans="1:29" x14ac:dyDescent="0.25">
      <c r="A202" s="171" t="str">
        <f t="shared" si="62"/>
        <v>Dybstrøelse</v>
      </c>
      <c r="B202" s="171" t="str">
        <f t="shared" si="63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61"/>
        <v>0</v>
      </c>
      <c r="E202" s="171">
        <f t="shared" si="64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346377.64489394147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259783.2336704561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32782.169963176602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53"/>
        <v>53812.241260308772</v>
      </c>
      <c r="P202" s="94">
        <f t="shared" si="65"/>
        <v>53812.241260308772</v>
      </c>
      <c r="Q202" s="180">
        <f t="shared" si="54"/>
        <v>259783.2336704561</v>
      </c>
      <c r="R202">
        <f>IFERROR(VLOOKUP(A202,[1]Energiindhold!$A$2:$C$11,3,FALSE),IFERROR(VLOOKUP(A202,[1]Biogasudbytte!$A$2:$B$18,2,FALSE)*[1]Energiindhold!$C$10,0))*P202</f>
        <v>0.1159115676747051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0.67548465300086757</v>
      </c>
      <c r="T202">
        <f>IFERROR(VLOOKUP(A202,[1]Biogasudbytte!$A$2:$B$18,2,FALSE)*[1]Energiindhold!$C$10,0)*K202*IFERROR(VLOOKUP(A202,Biogasanlæg!$F$3:$G$8,2,FALSE),1)</f>
        <v>0.55957308532616246</v>
      </c>
      <c r="U202" s="170">
        <f t="shared" si="55"/>
        <v>0.11591156767470512</v>
      </c>
      <c r="V202" s="169">
        <f>P202*IFERROR(VLOOKUP(A202,[1]Tørstofindhold!A$2:B$24,2,FALSE),0)</f>
        <v>16143.672378092631</v>
      </c>
      <c r="W202">
        <f>IF(E202=År1,Q202,SUM(P202,Q202))*IFERROR(VLOOKUP(A202,[1]Tørstofindhold!A$2:B$24,2,FALSE),0)</f>
        <v>94078.642479229457</v>
      </c>
      <c r="X202">
        <f>K202*IFERROR(VLOOKUP(A202,[1]Tørstofindhold!A$2:B$24,2,FALSE),0)</f>
        <v>77934.970101136831</v>
      </c>
      <c r="Y202" s="170">
        <f t="shared" si="56"/>
        <v>16143.672378092626</v>
      </c>
      <c r="Z202">
        <f t="shared" si="66"/>
        <v>0</v>
      </c>
      <c r="AA202">
        <f t="shared" si="67"/>
        <v>1</v>
      </c>
      <c r="AB202" s="94">
        <f t="shared" si="68"/>
        <v>53812.241260308772</v>
      </c>
      <c r="AC202">
        <f>AB202*D202*10000*VLOOKUP(A202,[1]kcal!$A$2:$C$49,3,FALSE)/1000000000000</f>
        <v>0</v>
      </c>
    </row>
    <row r="203" spans="1:29" x14ac:dyDescent="0.25">
      <c r="A203" s="171" t="str">
        <f t="shared" si="62"/>
        <v>Fiberfraktion</v>
      </c>
      <c r="B203" s="171" t="str">
        <f t="shared" si="63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61"/>
        <v>0</v>
      </c>
      <c r="E203" s="171">
        <f t="shared" si="64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0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0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53"/>
        <v>0</v>
      </c>
      <c r="P203" s="94">
        <f t="shared" si="65"/>
        <v>0</v>
      </c>
      <c r="Q203" s="180">
        <f t="shared" si="54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55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56"/>
        <v>0</v>
      </c>
      <c r="Z203">
        <f t="shared" si="66"/>
        <v>0</v>
      </c>
      <c r="AA203">
        <f t="shared" si="67"/>
        <v>0</v>
      </c>
      <c r="AB203" s="94">
        <f t="shared" si="68"/>
        <v>0</v>
      </c>
      <c r="AC203">
        <f>AB203*D203*10000*VLOOKUP(A203,[1]kcal!$A$2:$C$49,3,FALSE)/1000000000000</f>
        <v>0</v>
      </c>
    </row>
    <row r="204" spans="1:29" x14ac:dyDescent="0.25">
      <c r="A204" s="171" t="str">
        <f t="shared" si="62"/>
        <v>Fjerkrægylle</v>
      </c>
      <c r="B204" s="171" t="str">
        <f t="shared" si="63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61"/>
        <v>0</v>
      </c>
      <c r="E204" s="171">
        <f t="shared" si="64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700.20192515285464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525.15144386464101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175.05048128821366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53"/>
        <v>0</v>
      </c>
      <c r="P204" s="94">
        <f t="shared" si="65"/>
        <v>0</v>
      </c>
      <c r="Q204" s="180">
        <f t="shared" si="54"/>
        <v>525.15144386464101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2.4697347253510203E-4</v>
      </c>
      <c r="T204">
        <f>IFERROR(VLOOKUP(A204,[1]Biogasudbytte!$A$2:$B$18,2,FALSE)*[1]Energiindhold!$C$10,0)*K204*IFERROR(VLOOKUP(A204,Biogasanlæg!$F$3:$G$8,2,FALSE),1)</f>
        <v>2.4697347253510203E-4</v>
      </c>
      <c r="U204" s="170">
        <f t="shared" si="55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33.084540963472385</v>
      </c>
      <c r="X204">
        <f>K204*IFERROR(VLOOKUP(A204,[1]Tørstofindhold!A$2:B$24,2,FALSE),0)</f>
        <v>33.084540963472385</v>
      </c>
      <c r="Y204" s="170">
        <f t="shared" si="56"/>
        <v>0</v>
      </c>
      <c r="Z204">
        <f t="shared" si="66"/>
        <v>0</v>
      </c>
      <c r="AA204">
        <f t="shared" si="67"/>
        <v>0</v>
      </c>
      <c r="AB204" s="94">
        <f t="shared" si="68"/>
        <v>0</v>
      </c>
      <c r="AC204">
        <f>AB204*D204*10000*VLOOKUP(A204,[1]kcal!$A$2:$C$49,3,FALSE)/1000000000000</f>
        <v>0</v>
      </c>
    </row>
    <row r="205" spans="1:29" x14ac:dyDescent="0.25">
      <c r="A205" s="171" t="str">
        <f t="shared" si="62"/>
        <v>Fjerkrækød</v>
      </c>
      <c r="B205" s="171" t="str">
        <f t="shared" si="63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61"/>
        <v>1</v>
      </c>
      <c r="E205" s="171">
        <f t="shared" si="64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15244.045659594452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53"/>
        <v>-15316.072808753132</v>
      </c>
      <c r="P205" s="94">
        <f t="shared" si="65"/>
        <v>0</v>
      </c>
      <c r="Q205" s="180">
        <f t="shared" si="54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55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56"/>
        <v>0</v>
      </c>
      <c r="Z205">
        <f t="shared" si="66"/>
        <v>0</v>
      </c>
      <c r="AA205">
        <f t="shared" si="67"/>
        <v>1</v>
      </c>
      <c r="AB205" s="94">
        <f t="shared" si="68"/>
        <v>15244.045659594452</v>
      </c>
      <c r="AC205">
        <f>AB205*D205*10000*VLOOKUP(A205,[1]kcal!$A$2:$C$49,3,FALSE)/1000000000000</f>
        <v>2.3170949402583567E-2</v>
      </c>
    </row>
    <row r="206" spans="1:29" x14ac:dyDescent="0.25">
      <c r="A206" s="171" t="str">
        <f t="shared" si="62"/>
        <v>Frø</v>
      </c>
      <c r="B206" s="171" t="str">
        <f t="shared" si="63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61"/>
        <v>0</v>
      </c>
      <c r="E206" s="171">
        <f t="shared" si="64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639925.05348634056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53"/>
        <v>639925.05348634056</v>
      </c>
      <c r="P206" s="94">
        <f t="shared" si="65"/>
        <v>0</v>
      </c>
      <c r="Q206" s="180">
        <f t="shared" si="54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55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56"/>
        <v>0</v>
      </c>
      <c r="Z206">
        <f t="shared" si="66"/>
        <v>0</v>
      </c>
      <c r="AA206">
        <f t="shared" si="67"/>
        <v>1</v>
      </c>
      <c r="AB206" s="94">
        <f t="shared" si="68"/>
        <v>639925.05348634056</v>
      </c>
      <c r="AC206">
        <f>AB206*D206*10000*VLOOKUP(A206,[1]kcal!$A$2:$C$49,3,FALSE)/1000000000000</f>
        <v>0</v>
      </c>
    </row>
    <row r="207" spans="1:29" x14ac:dyDescent="0.25">
      <c r="A207" s="171" t="str">
        <f t="shared" si="62"/>
        <v>Frugt</v>
      </c>
      <c r="B207" s="171" t="str">
        <f t="shared" si="63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61"/>
        <v>1</v>
      </c>
      <c r="E207" s="171">
        <f t="shared" si="64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16391.280898066685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53"/>
        <v>-206932.66175524262</v>
      </c>
      <c r="P207" s="94">
        <f t="shared" si="65"/>
        <v>0</v>
      </c>
      <c r="Q207" s="180">
        <f t="shared" si="54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55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56"/>
        <v>0</v>
      </c>
      <c r="Z207">
        <f t="shared" si="66"/>
        <v>1</v>
      </c>
      <c r="AA207">
        <f t="shared" si="67"/>
        <v>0</v>
      </c>
      <c r="AB207" s="94">
        <f t="shared" si="68"/>
        <v>16391.280898066685</v>
      </c>
      <c r="AC207">
        <f>AB207*D207*10000*VLOOKUP(A207,[1]kcal!$A$2:$C$49,3,FALSE)/1000000000000</f>
        <v>8.5234660669946758E-3</v>
      </c>
    </row>
    <row r="208" spans="1:29" x14ac:dyDescent="0.25">
      <c r="A208" s="171" t="str">
        <f t="shared" si="62"/>
        <v>Glycerin</v>
      </c>
      <c r="B208" s="171" t="str">
        <f t="shared" si="63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61"/>
        <v>0</v>
      </c>
      <c r="E208" s="171">
        <f t="shared" si="64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28548.400000000001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53"/>
        <v>-28548.400000000001</v>
      </c>
      <c r="P208" s="94">
        <f t="shared" si="65"/>
        <v>0</v>
      </c>
      <c r="Q208" s="180">
        <f t="shared" si="54"/>
        <v>28548.400000000001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0.43389639740160008</v>
      </c>
      <c r="T208">
        <f>IFERROR(VLOOKUP(A208,[1]Biogasudbytte!$A$2:$B$18,2,FALSE)*[1]Energiindhold!$C$10,0)*K208*IFERROR(VLOOKUP(A208,Biogasanlæg!$F$3:$G$8,2,FALSE),1)</f>
        <v>0.43389639740160008</v>
      </c>
      <c r="U208" s="170">
        <f t="shared" si="55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25693.56</v>
      </c>
      <c r="X208">
        <f>K208*IFERROR(VLOOKUP(A208,[1]Tørstofindhold!A$2:B$24,2,FALSE),0)</f>
        <v>25693.56</v>
      </c>
      <c r="Y208" s="170">
        <f t="shared" si="56"/>
        <v>0</v>
      </c>
      <c r="Z208">
        <f t="shared" si="66"/>
        <v>1</v>
      </c>
      <c r="AA208">
        <f t="shared" si="67"/>
        <v>0</v>
      </c>
      <c r="AB208" s="94">
        <f t="shared" si="68"/>
        <v>-28548.400000000001</v>
      </c>
      <c r="AC208">
        <f>AB208*D208*10000*VLOOKUP(A208,[1]kcal!$A$2:$C$49,3,FALSE)/1000000000000</f>
        <v>0</v>
      </c>
    </row>
    <row r="209" spans="1:29" x14ac:dyDescent="0.25">
      <c r="A209" s="171" t="str">
        <f t="shared" si="62"/>
        <v>Græs</v>
      </c>
      <c r="B209" s="171" t="str">
        <f t="shared" si="63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61"/>
        <v>0</v>
      </c>
      <c r="E209" s="171">
        <f t="shared" si="64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2198776.4550645952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1458357.2726296766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0</v>
      </c>
      <c r="O209" s="179">
        <f t="shared" si="53"/>
        <v>740419.18243491859</v>
      </c>
      <c r="P209" s="94">
        <f t="shared" si="65"/>
        <v>740419.18243491859</v>
      </c>
      <c r="Q209" s="180">
        <f t="shared" si="54"/>
        <v>0</v>
      </c>
      <c r="R209">
        <f>IFERROR(VLOOKUP(A209,[1]Energiindhold!$A$2:$C$11,3,FALSE),IFERROR(VLOOKUP(A209,[1]Biogasudbytte!$A$2:$B$18,2,FALSE)*[1]Energiindhold!$C$10,0))*P209</f>
        <v>1.3622787432824459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1.3622787432824459</v>
      </c>
      <c r="T209">
        <f>IFERROR(VLOOKUP(A209,[1]Biogasudbytte!$A$2:$B$18,2,FALSE)*[1]Energiindhold!$C$10,0)*K209*IFERROR(VLOOKUP(A209,Biogasanlæg!$F$3:$G$8,2,FALSE),1)</f>
        <v>0</v>
      </c>
      <c r="U209" s="170">
        <f t="shared" si="55"/>
        <v>1.3622787432824459</v>
      </c>
      <c r="V209" s="169">
        <f>P209*IFERROR(VLOOKUP(A209,[1]Tørstofindhold!A$2:B$24,2,FALSE),0)</f>
        <v>207317.37108177724</v>
      </c>
      <c r="W209">
        <f>IF(E209=År1,Q209,SUM(P209,Q209))*IFERROR(VLOOKUP(A209,[1]Tørstofindhold!A$2:B$24,2,FALSE),0)</f>
        <v>207317.37108177724</v>
      </c>
      <c r="X209">
        <f>K209*IFERROR(VLOOKUP(A209,[1]Tørstofindhold!A$2:B$24,2,FALSE),0)</f>
        <v>0</v>
      </c>
      <c r="Y209" s="170">
        <f t="shared" si="56"/>
        <v>207317.37108177724</v>
      </c>
      <c r="Z209">
        <f t="shared" si="66"/>
        <v>0</v>
      </c>
      <c r="AA209">
        <f t="shared" si="67"/>
        <v>1</v>
      </c>
      <c r="AB209" s="94">
        <f t="shared" si="68"/>
        <v>740419.18243491859</v>
      </c>
      <c r="AC209">
        <f>AB209*D209*10000*VLOOKUP(A209,[1]kcal!$A$2:$C$49,3,FALSE)/1000000000000</f>
        <v>0</v>
      </c>
    </row>
    <row r="210" spans="1:29" x14ac:dyDescent="0.25">
      <c r="A210" s="171" t="str">
        <f t="shared" si="62"/>
        <v>Græsprotein</v>
      </c>
      <c r="B210" s="171" t="str">
        <f t="shared" si="63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61"/>
        <v>0</v>
      </c>
      <c r="E210" s="171">
        <f t="shared" si="64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0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0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53"/>
        <v>0</v>
      </c>
      <c r="P210" s="94">
        <f t="shared" si="65"/>
        <v>0</v>
      </c>
      <c r="Q210" s="180">
        <f t="shared" si="54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55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56"/>
        <v>0</v>
      </c>
      <c r="Z210">
        <f t="shared" si="66"/>
        <v>0</v>
      </c>
      <c r="AA210">
        <f t="shared" si="67"/>
        <v>0</v>
      </c>
      <c r="AB210" s="94">
        <f t="shared" si="68"/>
        <v>0</v>
      </c>
      <c r="AC210">
        <f>AB210*D210*10000*VLOOKUP(A210,[1]kcal!$A$2:$C$49,3,FALSE)/1000000000000</f>
        <v>0</v>
      </c>
    </row>
    <row r="211" spans="1:29" x14ac:dyDescent="0.25">
      <c r="A211" s="171" t="str">
        <f t="shared" si="62"/>
        <v>Grøntsager</v>
      </c>
      <c r="B211" s="171" t="str">
        <f t="shared" si="63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61"/>
        <v>1</v>
      </c>
      <c r="E211" s="171">
        <f t="shared" si="64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99364.334403430083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53"/>
        <v>-134538.1107966149</v>
      </c>
      <c r="P211" s="94">
        <f t="shared" si="65"/>
        <v>0</v>
      </c>
      <c r="Q211" s="180">
        <f t="shared" si="54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55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56"/>
        <v>0</v>
      </c>
      <c r="Z211">
        <f t="shared" si="66"/>
        <v>1</v>
      </c>
      <c r="AA211">
        <f t="shared" si="67"/>
        <v>0</v>
      </c>
      <c r="AB211" s="94">
        <f t="shared" si="68"/>
        <v>99364.334403430083</v>
      </c>
      <c r="AC211">
        <f>AB211*D211*10000*VLOOKUP(A211,[1]kcal!$A$2:$C$49,3,FALSE)/1000000000000</f>
        <v>3.875209041733773E-2</v>
      </c>
    </row>
    <row r="212" spans="1:29" x14ac:dyDescent="0.25">
      <c r="A212" s="171" t="str">
        <f t="shared" si="62"/>
        <v>Halm</v>
      </c>
      <c r="B212" s="171" t="str">
        <f t="shared" si="63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61"/>
        <v>0</v>
      </c>
      <c r="E212" s="171">
        <f t="shared" si="64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1338955.2191121718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92128.125779914451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99919.118195708812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1146907.9751365485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53"/>
        <v>0</v>
      </c>
      <c r="P212" s="94">
        <f t="shared" si="65"/>
        <v>0</v>
      </c>
      <c r="Q212" s="180">
        <f t="shared" si="54"/>
        <v>1146907.9751365485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11.854218719820096</v>
      </c>
      <c r="T212">
        <f>IFERROR(VLOOKUP(A212,[1]Biogasudbytte!$A$2:$B$18,2,FALSE)*[1]Energiindhold!$C$10,0)*K212*IFERROR(VLOOKUP(A212,Biogasanlæg!$F$3:$G$8,2,FALSE),1)</f>
        <v>0</v>
      </c>
      <c r="U212" s="170">
        <f t="shared" si="55"/>
        <v>11.854218719820096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974871.77886606625</v>
      </c>
      <c r="X212">
        <f>K212*IFERROR(VLOOKUP(A212,[1]Tørstofindhold!A$2:B$24,2,FALSE),0)</f>
        <v>0</v>
      </c>
      <c r="Y212" s="170">
        <f t="shared" si="56"/>
        <v>974871.77886606625</v>
      </c>
      <c r="Z212">
        <f t="shared" si="66"/>
        <v>0</v>
      </c>
      <c r="AA212">
        <f t="shared" si="67"/>
        <v>0</v>
      </c>
      <c r="AB212" s="94">
        <f t="shared" si="68"/>
        <v>1146907.9751365485</v>
      </c>
      <c r="AC212">
        <f>AB212*D212*10000*VLOOKUP(A212,[1]kcal!$A$2:$C$49,3,FALSE)/1000000000000</f>
        <v>0</v>
      </c>
    </row>
    <row r="213" spans="1:29" x14ac:dyDescent="0.25">
      <c r="A213" s="171" t="str">
        <f t="shared" si="62"/>
        <v>Have/parkaffald</v>
      </c>
      <c r="B213" s="171" t="str">
        <f t="shared" si="63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61"/>
        <v>0</v>
      </c>
      <c r="E213" s="171">
        <f t="shared" si="64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348039.31140100124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108035.57873060764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53"/>
        <v>0</v>
      </c>
      <c r="P213" s="94">
        <f t="shared" si="65"/>
        <v>0</v>
      </c>
      <c r="Q213" s="180">
        <f t="shared" si="54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2.5196700890881236</v>
      </c>
      <c r="T213">
        <f>IFERROR(VLOOKUP(A213,[1]Biogasudbytte!$A$2:$B$18,2,FALSE)*[1]Energiindhold!$C$10,0)*K213*IFERROR(VLOOKUP(A213,Biogasanlæg!$F$3:$G$8,2,FALSE),1)</f>
        <v>0.59099511351069822</v>
      </c>
      <c r="U213" s="170">
        <f t="shared" si="55"/>
        <v>1.9286749755774255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104411.79342030037</v>
      </c>
      <c r="Y213" s="170">
        <f t="shared" si="56"/>
        <v>32410.6736191823</v>
      </c>
      <c r="Z213">
        <f t="shared" si="66"/>
        <v>0</v>
      </c>
      <c r="AA213">
        <f t="shared" si="67"/>
        <v>0</v>
      </c>
      <c r="AB213" s="94">
        <f t="shared" si="68"/>
        <v>108035.57873060764</v>
      </c>
      <c r="AC213">
        <f>AB213*D213*10000*VLOOKUP(A213,[1]kcal!$A$2:$C$49,3,FALSE)/1000000000000</f>
        <v>0</v>
      </c>
    </row>
    <row r="214" spans="1:29" x14ac:dyDescent="0.25">
      <c r="A214" s="171" t="str">
        <f t="shared" si="62"/>
        <v>Import af foder</v>
      </c>
      <c r="B214" s="171" t="str">
        <f t="shared" si="63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61"/>
        <v>1</v>
      </c>
      <c r="E214" s="171">
        <f t="shared" si="64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575400.46112831845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53"/>
        <v>-575400.46112831845</v>
      </c>
      <c r="P214" s="94">
        <f t="shared" si="65"/>
        <v>0</v>
      </c>
      <c r="Q214" s="180">
        <f t="shared" si="54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55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56"/>
        <v>0</v>
      </c>
      <c r="Z214">
        <f t="shared" si="66"/>
        <v>1</v>
      </c>
      <c r="AA214">
        <f t="shared" si="67"/>
        <v>0</v>
      </c>
      <c r="AB214" s="94">
        <f t="shared" si="68"/>
        <v>-575400.46112831845</v>
      </c>
      <c r="AC214">
        <f>AB214*D214*10000*VLOOKUP(A214,[1]kcal!$A$2:$C$49,3,FALSE)/1000000000000</f>
        <v>-0.32797826284314147</v>
      </c>
    </row>
    <row r="215" spans="1:29" x14ac:dyDescent="0.25">
      <c r="A215" s="171" t="str">
        <f t="shared" si="62"/>
        <v>Industriaffald</v>
      </c>
      <c r="B215" s="171" t="str">
        <f t="shared" si="63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61"/>
        <v>0</v>
      </c>
      <c r="E215" s="171">
        <f t="shared" si="64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201909.85062896684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53"/>
        <v>201909.85062896684</v>
      </c>
      <c r="P215" s="94">
        <f t="shared" si="65"/>
        <v>201909.85062896684</v>
      </c>
      <c r="Q215" s="180">
        <f t="shared" si="54"/>
        <v>0</v>
      </c>
      <c r="R215">
        <f>IFERROR(VLOOKUP(A215,[1]Energiindhold!$A$2:$C$11,3,FALSE),IFERROR(VLOOKUP(A215,[1]Biogasudbytte!$A$2:$B$18,2,FALSE)*[1]Energiindhold!$C$10,0))*P215</f>
        <v>0.87490163105589525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0.87490163105589525</v>
      </c>
      <c r="T215">
        <f>IFERROR(VLOOKUP(A215,[1]Biogasudbytte!$A$2:$B$18,2,FALSE)*[1]Energiindhold!$C$10,0)*K215*IFERROR(VLOOKUP(A215,Biogasanlæg!$F$3:$G$8,2,FALSE),1)</f>
        <v>0</v>
      </c>
      <c r="U215" s="170">
        <f t="shared" si="55"/>
        <v>0.87490163105589525</v>
      </c>
      <c r="V215" s="169">
        <f>P215*IFERROR(VLOOKUP(A215,[1]Tørstofindhold!A$2:B$24,2,FALSE),0)</f>
        <v>84802.137264166071</v>
      </c>
      <c r="W215">
        <f>IF(E215=År1,Q215,SUM(P215,Q215))*IFERROR(VLOOKUP(A215,[1]Tørstofindhold!A$2:B$24,2,FALSE),0)</f>
        <v>84802.137264166071</v>
      </c>
      <c r="X215">
        <f>K215*IFERROR(VLOOKUP(A215,[1]Tørstofindhold!A$2:B$24,2,FALSE),0)</f>
        <v>0</v>
      </c>
      <c r="Y215" s="170">
        <f t="shared" si="56"/>
        <v>84802.137264166071</v>
      </c>
      <c r="Z215">
        <f t="shared" si="66"/>
        <v>0</v>
      </c>
      <c r="AA215">
        <f t="shared" si="67"/>
        <v>1</v>
      </c>
      <c r="AB215" s="94">
        <f t="shared" si="68"/>
        <v>201909.85062896684</v>
      </c>
      <c r="AC215">
        <f>AB215*D215*10000*VLOOKUP(A215,[1]kcal!$A$2:$C$49,3,FALSE)/1000000000000</f>
        <v>0</v>
      </c>
    </row>
    <row r="216" spans="1:29" x14ac:dyDescent="0.25">
      <c r="A216" s="171" t="str">
        <f t="shared" si="62"/>
        <v>Juletræer</v>
      </c>
      <c r="B216" s="171" t="str">
        <f t="shared" si="63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61"/>
        <v>0</v>
      </c>
      <c r="E216" s="171">
        <f t="shared" si="64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151266.45400737421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53"/>
        <v>151266.45400737421</v>
      </c>
      <c r="P216" s="94">
        <f t="shared" si="65"/>
        <v>0</v>
      </c>
      <c r="Q216" s="180">
        <f t="shared" si="54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55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56"/>
        <v>0</v>
      </c>
      <c r="Z216">
        <f t="shared" si="66"/>
        <v>0</v>
      </c>
      <c r="AA216">
        <f t="shared" si="67"/>
        <v>1</v>
      </c>
      <c r="AB216" s="94">
        <f t="shared" si="68"/>
        <v>151266.45400737421</v>
      </c>
      <c r="AC216">
        <f>AB216*D216*10000*VLOOKUP(A216,[1]kcal!$A$2:$C$49,3,FALSE)/1000000000000</f>
        <v>0</v>
      </c>
    </row>
    <row r="217" spans="1:29" x14ac:dyDescent="0.25">
      <c r="A217" s="171" t="str">
        <f t="shared" si="62"/>
        <v>Kartofler</v>
      </c>
      <c r="B217" s="171" t="str">
        <f t="shared" si="63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61"/>
        <v>1</v>
      </c>
      <c r="E217" s="171">
        <f t="shared" si="64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120819.30729817749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69">G217-SUM(H217:N217)</f>
        <v>13858.892658960933</v>
      </c>
      <c r="P217" s="94">
        <f t="shared" si="65"/>
        <v>0</v>
      </c>
      <c r="Q217" s="180">
        <f t="shared" ref="Q217:Q282" si="70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71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72">W217-X217</f>
        <v>0</v>
      </c>
      <c r="Z217">
        <f t="shared" si="66"/>
        <v>0</v>
      </c>
      <c r="AA217">
        <f t="shared" si="67"/>
        <v>1</v>
      </c>
      <c r="AB217" s="94">
        <f t="shared" si="68"/>
        <v>120819.30729817749</v>
      </c>
      <c r="AC217">
        <f>AB217*D217*10000*VLOOKUP(A217,[1]kcal!$A$2:$C$49,3,FALSE)/1000000000000</f>
        <v>9.4239059692578425E-2</v>
      </c>
    </row>
    <row r="218" spans="1:29" x14ac:dyDescent="0.25">
      <c r="A218" s="171" t="str">
        <f t="shared" si="62"/>
        <v>Korn</v>
      </c>
      <c r="B218" s="171" t="str">
        <f t="shared" si="63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61"/>
        <v>1</v>
      </c>
      <c r="E218" s="171">
        <f t="shared" si="64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2364100.9929543477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700622.1199230341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1407244.0335659378</v>
      </c>
      <c r="P218" s="94">
        <f t="shared" si="65"/>
        <v>1407244.0335659378</v>
      </c>
      <c r="Q218" s="180">
        <f t="shared" si="70"/>
        <v>0</v>
      </c>
      <c r="R218">
        <f>IFERROR(VLOOKUP(A218,[1]Energiindhold!$A$2:$C$11,3,FALSE),IFERROR(VLOOKUP(A218,[1]Biogasudbytte!$A$2:$B$18,2,FALSE)*[1]Energiindhold!$C$10,0))*P218</f>
        <v>4.8196138007986384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4.8196138007986384</v>
      </c>
      <c r="T218">
        <f>IFERROR(VLOOKUP(A218,[1]Biogasudbytte!$A$2:$B$18,2,FALSE)*[1]Energiindhold!$C$10,0)*K218*IFERROR(VLOOKUP(A218,Biogasanlæg!$F$3:$G$8,2,FALSE),1)</f>
        <v>0</v>
      </c>
      <c r="U218" s="170">
        <f t="shared" si="71"/>
        <v>4.8196138007986384</v>
      </c>
      <c r="V218" s="169">
        <f>P218*IFERROR(VLOOKUP(A218,[1]Tørstofindhold!A$2:B$24,2,FALSE),0)</f>
        <v>436245.65040544071</v>
      </c>
      <c r="W218">
        <f>IF(E218=År1,Q218,SUM(P218,Q218))*IFERROR(VLOOKUP(A218,[1]Tørstofindhold!A$2:B$24,2,FALSE),0)</f>
        <v>436245.65040544071</v>
      </c>
      <c r="X218">
        <f>K218*IFERROR(VLOOKUP(A218,[1]Tørstofindhold!A$2:B$24,2,FALSE),0)</f>
        <v>0</v>
      </c>
      <c r="Y218" s="170">
        <f t="shared" si="72"/>
        <v>436245.65040544071</v>
      </c>
      <c r="Z218">
        <f t="shared" si="66"/>
        <v>0</v>
      </c>
      <c r="AA218">
        <f t="shared" si="67"/>
        <v>1</v>
      </c>
      <c r="AB218" s="94">
        <f t="shared" si="68"/>
        <v>1663478.8730313135</v>
      </c>
      <c r="AC218">
        <f>AB218*D218*10000*VLOOKUP(A218,[1]kcal!$A$2:$C$49,3,FALSE)/1000000000000</f>
        <v>6.0883326752946072</v>
      </c>
    </row>
    <row r="219" spans="1:29" x14ac:dyDescent="0.25">
      <c r="A219" s="171" t="str">
        <f t="shared" si="62"/>
        <v>Kunstgødning</v>
      </c>
      <c r="B219" s="171" t="str">
        <f t="shared" si="63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61"/>
        <v>0</v>
      </c>
      <c r="E219" s="171">
        <f t="shared" si="64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335173.45257844625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69"/>
        <v>-335173.45257844625</v>
      </c>
      <c r="P219" s="94">
        <f t="shared" si="65"/>
        <v>0</v>
      </c>
      <c r="Q219" s="180">
        <f t="shared" si="70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71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72"/>
        <v>0</v>
      </c>
      <c r="Z219">
        <f t="shared" ca="1" si="66"/>
        <v>1</v>
      </c>
      <c r="AA219">
        <f t="shared" ca="1" si="67"/>
        <v>0</v>
      </c>
      <c r="AB219" s="94">
        <f t="shared" ca="1" si="68"/>
        <v>-335173.45257844625</v>
      </c>
      <c r="AC219">
        <f ca="1">AB219*D219*10000*VLOOKUP(A219,[1]kcal!$A$2:$C$49,3,FALSE)/1000000000000</f>
        <v>0</v>
      </c>
    </row>
    <row r="220" spans="1:29" x14ac:dyDescent="0.25">
      <c r="A220" s="171" t="str">
        <f t="shared" si="62"/>
        <v>Kvæggylle</v>
      </c>
      <c r="B220" s="171" t="str">
        <f t="shared" si="63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61"/>
        <v>0</v>
      </c>
      <c r="E220" s="171">
        <f t="shared" si="64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922789.17266620893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692091.87949965673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230697.29316655223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69"/>
        <v>0</v>
      </c>
      <c r="P220" s="94">
        <f t="shared" si="65"/>
        <v>0</v>
      </c>
      <c r="Q220" s="180">
        <f t="shared" si="70"/>
        <v>692091.87949965673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0.35032998848393127</v>
      </c>
      <c r="T220">
        <f>IFERROR(VLOOKUP(A220,[1]Biogasudbytte!$A$2:$B$18,2,FALSE)*[1]Energiindhold!$C$10,0)*K220*IFERROR(VLOOKUP(A220,Biogasanlæg!$F$3:$G$8,2,FALSE),1)</f>
        <v>0.35032998848393127</v>
      </c>
      <c r="U220" s="170">
        <f t="shared" si="71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52598.982841973913</v>
      </c>
      <c r="X220">
        <f>K220*IFERROR(VLOOKUP(A220,[1]Tørstofindhold!A$2:B$24,2,FALSE),0)</f>
        <v>52598.982841973913</v>
      </c>
      <c r="Y220" s="170">
        <f t="shared" si="72"/>
        <v>0</v>
      </c>
      <c r="Z220">
        <f t="shared" si="66"/>
        <v>0</v>
      </c>
      <c r="AA220">
        <f t="shared" si="67"/>
        <v>0</v>
      </c>
      <c r="AB220" s="94">
        <f t="shared" si="68"/>
        <v>0</v>
      </c>
      <c r="AC220">
        <f>AB220*D220*10000*VLOOKUP(A220,[1]kcal!$A$2:$C$49,3,FALSE)/1000000000000</f>
        <v>0</v>
      </c>
    </row>
    <row r="221" spans="1:29" x14ac:dyDescent="0.25">
      <c r="A221" s="171" t="str">
        <f t="shared" si="62"/>
        <v>Mælk til foder</v>
      </c>
      <c r="B221" s="171" t="str">
        <f t="shared" si="63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61"/>
        <v>0</v>
      </c>
      <c r="E221" s="171">
        <f t="shared" si="64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115210.53389359287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180626.6382614313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69"/>
        <v>-65416.10436783843</v>
      </c>
      <c r="P221" s="94">
        <f t="shared" si="65"/>
        <v>0</v>
      </c>
      <c r="Q221" s="180">
        <f t="shared" si="70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71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72"/>
        <v>0</v>
      </c>
      <c r="Z221">
        <f t="shared" si="66"/>
        <v>0</v>
      </c>
      <c r="AA221">
        <f t="shared" si="67"/>
        <v>1</v>
      </c>
      <c r="AB221" s="94">
        <f t="shared" si="68"/>
        <v>-65416.10436783843</v>
      </c>
      <c r="AC221">
        <f>AB221*D221*10000*VLOOKUP(A221,[1]kcal!$A$2:$C$49,3,FALSE)/1000000000000</f>
        <v>0</v>
      </c>
    </row>
    <row r="222" spans="1:29" x14ac:dyDescent="0.25">
      <c r="A222" s="171" t="str">
        <f t="shared" si="62"/>
        <v>Majs</v>
      </c>
      <c r="B222" s="171" t="str">
        <f t="shared" si="63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61"/>
        <v>1</v>
      </c>
      <c r="E222" s="171">
        <f t="shared" si="64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382116.33628402097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674147.29351119313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69"/>
        <v>-292030.95722717216</v>
      </c>
      <c r="P222" s="94">
        <f t="shared" si="65"/>
        <v>0</v>
      </c>
      <c r="Q222" s="180">
        <f t="shared" si="70"/>
        <v>0</v>
      </c>
      <c r="R222">
        <f>IFERROR(VLOOKUP(A222,[1]Energiindhold!$A$2:$C$11,3,FALSE),IFERROR(VLOOKUP(A222,[1]Biogasudbytte!$A$2:$B$18,2,FALSE)*[1]Energiindhold!$C$10,0))*P222</f>
        <v>0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0</v>
      </c>
      <c r="T222">
        <f>IFERROR(VLOOKUP(A222,[1]Biogasudbytte!$A$2:$B$18,2,FALSE)*[1]Energiindhold!$C$10,0)*K222*IFERROR(VLOOKUP(A222,Biogasanlæg!$F$3:$G$8,2,FALSE),1)</f>
        <v>0</v>
      </c>
      <c r="U222" s="170">
        <f t="shared" si="71"/>
        <v>0</v>
      </c>
      <c r="V222" s="169">
        <f>P222*IFERROR(VLOOKUP(A222,[1]Tørstofindhold!A$2:B$24,2,FALSE),0)</f>
        <v>0</v>
      </c>
      <c r="W222">
        <f>IF(E222=År1,Q222,SUM(P222,Q222))*IFERROR(VLOOKUP(A222,[1]Tørstofindhold!A$2:B$24,2,FALSE),0)</f>
        <v>0</v>
      </c>
      <c r="X222">
        <f>K222*IFERROR(VLOOKUP(A222,[1]Tørstofindhold!A$2:B$24,2,FALSE),0)</f>
        <v>0</v>
      </c>
      <c r="Y222" s="170">
        <f t="shared" si="72"/>
        <v>0</v>
      </c>
      <c r="Z222">
        <f t="shared" si="66"/>
        <v>0</v>
      </c>
      <c r="AA222">
        <f t="shared" si="67"/>
        <v>1</v>
      </c>
      <c r="AB222" s="94">
        <f t="shared" si="68"/>
        <v>-292030.95722717216</v>
      </c>
      <c r="AC222">
        <f>AB222*D222*10000*VLOOKUP(A222,[1]kcal!$A$2:$C$49,3,FALSE)/1000000000000</f>
        <v>-0.26574817107672666</v>
      </c>
    </row>
    <row r="223" spans="1:29" x14ac:dyDescent="0.25">
      <c r="A223" s="171" t="str">
        <f t="shared" si="62"/>
        <v>Mejeriprodukter</v>
      </c>
      <c r="B223" s="171" t="str">
        <f t="shared" si="63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61"/>
        <v>1</v>
      </c>
      <c r="E223" s="171">
        <f t="shared" si="64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222296.53737538058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69"/>
        <v>-186738.89443173329</v>
      </c>
      <c r="P223" s="94">
        <f t="shared" si="65"/>
        <v>0</v>
      </c>
      <c r="Q223" s="180">
        <f t="shared" si="70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71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72"/>
        <v>0</v>
      </c>
      <c r="Z223">
        <f t="shared" si="66"/>
        <v>0</v>
      </c>
      <c r="AA223">
        <f t="shared" si="67"/>
        <v>1</v>
      </c>
      <c r="AB223" s="94">
        <f t="shared" si="68"/>
        <v>222296.53737538058</v>
      </c>
      <c r="AC223">
        <f>AB223*D223*10000*VLOOKUP(A223,[1]kcal!$A$2:$C$49,3,FALSE)/1000000000000</f>
        <v>0.14004681854648976</v>
      </c>
    </row>
    <row r="224" spans="1:29" x14ac:dyDescent="0.25">
      <c r="A224" s="171" t="str">
        <f t="shared" si="62"/>
        <v>Muslinger</v>
      </c>
      <c r="B224" s="171" t="str">
        <f t="shared" si="63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61"/>
        <v>1</v>
      </c>
      <c r="E224" s="171">
        <f t="shared" si="64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69"/>
        <v>1.1976865502381491</v>
      </c>
      <c r="P224" s="94">
        <f t="shared" si="65"/>
        <v>1.1976865502381491</v>
      </c>
      <c r="Q224" s="180">
        <f t="shared" si="70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71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72"/>
        <v>0.17965298253572234</v>
      </c>
      <c r="Z224">
        <f t="shared" si="66"/>
        <v>0</v>
      </c>
      <c r="AA224">
        <f t="shared" si="67"/>
        <v>1</v>
      </c>
      <c r="AB224" s="94">
        <f t="shared" si="68"/>
        <v>1.1976865502381491</v>
      </c>
      <c r="AC224">
        <f>AB224*D224*10000*VLOOKUP(A224,[1]kcal!$A$2:$C$49,3,FALSE)/1000000000000</f>
        <v>9.9407983669766362E-7</v>
      </c>
    </row>
    <row r="225" spans="1:29" x14ac:dyDescent="0.25">
      <c r="A225" s="171" t="str">
        <f t="shared" si="62"/>
        <v>Oksekød</v>
      </c>
      <c r="B225" s="171" t="str">
        <f t="shared" si="63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61"/>
        <v>1</v>
      </c>
      <c r="E225" s="171">
        <f t="shared" si="64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7545.7953205064359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69"/>
        <v>-44429.913859121647</v>
      </c>
      <c r="P225" s="94">
        <f t="shared" si="65"/>
        <v>0</v>
      </c>
      <c r="Q225" s="180">
        <f t="shared" si="70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71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72"/>
        <v>0</v>
      </c>
      <c r="Z225">
        <f t="shared" si="66"/>
        <v>0</v>
      </c>
      <c r="AA225">
        <f t="shared" si="67"/>
        <v>1</v>
      </c>
      <c r="AB225" s="94">
        <f t="shared" si="68"/>
        <v>7545.7953205064359</v>
      </c>
      <c r="AC225">
        <f>AB225*D225*10000*VLOOKUP(A225,[1]kcal!$A$2:$C$49,3,FALSE)/1000000000000</f>
        <v>1.4714300874987549E-2</v>
      </c>
    </row>
    <row r="226" spans="1:29" x14ac:dyDescent="0.25">
      <c r="A226" s="171" t="str">
        <f t="shared" si="62"/>
        <v>Øvrige</v>
      </c>
      <c r="B226" s="171" t="str">
        <f t="shared" si="63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61"/>
        <v>1</v>
      </c>
      <c r="E226" s="171">
        <f t="shared" si="64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410761.8079459595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69"/>
        <v>410761.8079459595</v>
      </c>
      <c r="P226" s="94">
        <f t="shared" si="65"/>
        <v>0</v>
      </c>
      <c r="Q226" s="180">
        <f t="shared" si="70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71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72"/>
        <v>0</v>
      </c>
      <c r="Z226">
        <f t="shared" si="66"/>
        <v>0</v>
      </c>
      <c r="AA226">
        <f t="shared" si="67"/>
        <v>1</v>
      </c>
      <c r="AB226" s="94">
        <f t="shared" si="68"/>
        <v>410761.8079459595</v>
      </c>
      <c r="AC226">
        <f>AB226*D226*10000*VLOOKUP(A226,[1]kcal!$A$2:$C$49,3,FALSE)/1000000000000</f>
        <v>0.16019710509892424</v>
      </c>
    </row>
    <row r="227" spans="1:29" x14ac:dyDescent="0.25">
      <c r="A227" s="171" t="str">
        <f t="shared" si="62"/>
        <v>Pil &amp; poppel</v>
      </c>
      <c r="B227" s="171" t="str">
        <f t="shared" si="63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61"/>
        <v>0</v>
      </c>
      <c r="E227" s="171">
        <f t="shared" si="64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39668.631585604686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39668.631585604686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69"/>
        <v>0</v>
      </c>
      <c r="P227" s="94">
        <f t="shared" si="65"/>
        <v>0</v>
      </c>
      <c r="Q227" s="180">
        <f t="shared" si="70"/>
        <v>39668.631585604686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0.72990282117512606</v>
      </c>
      <c r="T227">
        <f>IFERROR(VLOOKUP(A227,[1]Biogasudbytte!$A$2:$B$18,2,FALSE)*[1]Energiindhold!$C$10,0)*K227*IFERROR(VLOOKUP(A227,Biogasanlæg!$F$3:$G$8,2,FALSE),1)</f>
        <v>0</v>
      </c>
      <c r="U227" s="170">
        <f t="shared" si="71"/>
        <v>0.72990282117512606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16462.482108025946</v>
      </c>
      <c r="X227">
        <f>K227*IFERROR(VLOOKUP(A227,[1]Tørstofindhold!A$2:B$24,2,FALSE),0)</f>
        <v>0</v>
      </c>
      <c r="Y227" s="170">
        <f t="shared" si="72"/>
        <v>16462.482108025946</v>
      </c>
      <c r="Z227">
        <f t="shared" si="66"/>
        <v>0</v>
      </c>
      <c r="AA227">
        <f t="shared" si="67"/>
        <v>0</v>
      </c>
      <c r="AB227" s="94">
        <f t="shared" si="68"/>
        <v>39668.631585604686</v>
      </c>
      <c r="AC227">
        <f>AB227*D227*10000*VLOOKUP(A227,[1]kcal!$A$2:$C$49,3,FALSE)/1000000000000</f>
        <v>0</v>
      </c>
    </row>
    <row r="228" spans="1:29" x14ac:dyDescent="0.25">
      <c r="A228" s="171" t="str">
        <f t="shared" ref="A228:A229" si="73">A180</f>
        <v>Pyrolysegas</v>
      </c>
      <c r="B228" s="171" t="str">
        <f t="shared" ref="B228:B229" si="74"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61"/>
        <v>0</v>
      </c>
      <c r="E228" s="171">
        <f t="shared" si="64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 t="shared" ref="O228:O229" si="75">G228-SUM(H228:N228)</f>
        <v>0</v>
      </c>
      <c r="P228" s="94">
        <f t="shared" si="65"/>
        <v>0</v>
      </c>
      <c r="Q228" s="180">
        <f t="shared" ref="Q228:Q229" si="76"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 t="shared" ref="U228:U229" si="77"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 t="shared" ref="Y228:Y229" si="78">W228-X228</f>
        <v>0</v>
      </c>
      <c r="Z228">
        <f t="shared" si="66"/>
        <v>0</v>
      </c>
      <c r="AA228">
        <f t="shared" si="67"/>
        <v>0</v>
      </c>
      <c r="AB228" s="94">
        <f t="shared" si="68"/>
        <v>0</v>
      </c>
      <c r="AC228">
        <f>AB228*D228*10000*VLOOKUP(A228,[1]kcal!$A$2:$C$49,3,FALSE)/1000000000000</f>
        <v>0</v>
      </c>
    </row>
    <row r="229" spans="1:29" x14ac:dyDescent="0.25">
      <c r="A229" s="171" t="str">
        <f t="shared" si="73"/>
        <v>Pyrolyseolie</v>
      </c>
      <c r="B229" s="171" t="str">
        <f t="shared" si="74"/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61"/>
        <v>0</v>
      </c>
      <c r="E229" s="171">
        <f t="shared" si="64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 t="shared" si="75"/>
        <v>0</v>
      </c>
      <c r="P229" s="94">
        <f t="shared" si="65"/>
        <v>0</v>
      </c>
      <c r="Q229" s="180">
        <f t="shared" si="76"/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 t="shared" si="77"/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 t="shared" si="78"/>
        <v>0</v>
      </c>
      <c r="Z229">
        <f t="shared" si="66"/>
        <v>0</v>
      </c>
      <c r="AA229">
        <f t="shared" si="67"/>
        <v>0</v>
      </c>
      <c r="AB229" s="94">
        <f t="shared" si="68"/>
        <v>0</v>
      </c>
      <c r="AC229">
        <f>AB229*D229*10000*VLOOKUP(A229,[1]kcal!$A$2:$C$49,3,FALSE)/1000000000000</f>
        <v>0</v>
      </c>
    </row>
    <row r="230" spans="1:29" x14ac:dyDescent="0.25">
      <c r="A230" s="171" t="str">
        <f t="shared" ref="A230:A275" si="79">A182</f>
        <v>Råmælk</v>
      </c>
      <c r="B230" s="171" t="str">
        <f t="shared" ref="B230:B275" si="8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61"/>
        <v>0</v>
      </c>
      <c r="E230" s="171">
        <f t="shared" si="64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346161.09873740864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69"/>
        <v>346161.09873740864</v>
      </c>
      <c r="P230" s="94">
        <f t="shared" si="65"/>
        <v>0</v>
      </c>
      <c r="Q230" s="180">
        <f t="shared" si="70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71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72"/>
        <v>0</v>
      </c>
      <c r="Z230">
        <f t="shared" si="66"/>
        <v>0</v>
      </c>
      <c r="AA230">
        <f t="shared" si="67"/>
        <v>1</v>
      </c>
      <c r="AB230" s="94">
        <f t="shared" si="68"/>
        <v>346161.09873740864</v>
      </c>
      <c r="AC230">
        <f>AB230*D230*10000*VLOOKUP(A230,[1]kcal!$A$2:$C$49,3,FALSE)/1000000000000</f>
        <v>0</v>
      </c>
    </row>
    <row r="231" spans="1:29" x14ac:dyDescent="0.25">
      <c r="A231" s="171" t="str">
        <f t="shared" si="79"/>
        <v>Raps</v>
      </c>
      <c r="B231" s="171" t="str">
        <f t="shared" si="8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61"/>
        <v>0</v>
      </c>
      <c r="E231" s="171">
        <f t="shared" si="64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200297.62873879672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200297.62873879672</v>
      </c>
      <c r="O231" s="179">
        <f t="shared" si="69"/>
        <v>0</v>
      </c>
      <c r="P231" s="94">
        <f t="shared" si="65"/>
        <v>0</v>
      </c>
      <c r="Q231" s="180">
        <f t="shared" si="70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71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72"/>
        <v>0</v>
      </c>
      <c r="Z231">
        <f t="shared" si="66"/>
        <v>0</v>
      </c>
      <c r="AA231">
        <f t="shared" si="67"/>
        <v>0</v>
      </c>
      <c r="AB231" s="94">
        <f t="shared" si="68"/>
        <v>200297.62873879672</v>
      </c>
      <c r="AC231">
        <f>AB231*D231*10000*VLOOKUP(A231,[1]kcal!$A$2:$C$49,3,FALSE)/1000000000000</f>
        <v>0</v>
      </c>
    </row>
    <row r="232" spans="1:29" x14ac:dyDescent="0.25">
      <c r="A232" s="171" t="str">
        <f t="shared" si="79"/>
        <v>Rapskage</v>
      </c>
      <c r="B232" s="171" t="str">
        <f t="shared" si="8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61"/>
        <v>0</v>
      </c>
      <c r="E232" s="171">
        <f t="shared" si="64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100148.81436939836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25514.0464210887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69"/>
        <v>74634.767948309658</v>
      </c>
      <c r="P232" s="94">
        <f t="shared" si="65"/>
        <v>0</v>
      </c>
      <c r="Q232" s="180">
        <f t="shared" si="70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71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72"/>
        <v>0</v>
      </c>
      <c r="Z232">
        <f t="shared" si="66"/>
        <v>0</v>
      </c>
      <c r="AA232">
        <f t="shared" si="67"/>
        <v>1</v>
      </c>
      <c r="AB232" s="94">
        <f t="shared" si="68"/>
        <v>74634.767948309658</v>
      </c>
      <c r="AC232">
        <f>AB232*D232*10000*VLOOKUP(A232,[1]kcal!$A$2:$C$49,3,FALSE)/1000000000000</f>
        <v>0</v>
      </c>
    </row>
    <row r="233" spans="1:29" x14ac:dyDescent="0.25">
      <c r="A233" s="171" t="str">
        <f t="shared" si="79"/>
        <v>Rapsolie</v>
      </c>
      <c r="B233" s="171" t="str">
        <f t="shared" si="8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61"/>
        <v>1</v>
      </c>
      <c r="E233" s="171">
        <f t="shared" si="64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64095.241196414951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64095.241196414951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69"/>
        <v>0</v>
      </c>
      <c r="P233" s="94">
        <f t="shared" si="65"/>
        <v>0</v>
      </c>
      <c r="Q233" s="180">
        <f t="shared" si="70"/>
        <v>64095.241196414951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2.243333441874523</v>
      </c>
      <c r="T233">
        <f>IFERROR(VLOOKUP(A233,[1]Biogasudbytte!$A$2:$B$18,2,FALSE)*[1]Energiindhold!$C$10,0)*K233*IFERROR(VLOOKUP(A233,Biogasanlæg!$F$3:$G$8,2,FALSE),1)</f>
        <v>0</v>
      </c>
      <c r="U233" s="170">
        <f t="shared" si="71"/>
        <v>2.243333441874523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72"/>
        <v>0</v>
      </c>
      <c r="Z233">
        <f t="shared" si="66"/>
        <v>0</v>
      </c>
      <c r="AA233">
        <f t="shared" si="67"/>
        <v>0</v>
      </c>
      <c r="AB233" s="94">
        <f t="shared" si="68"/>
        <v>64095.241196414951</v>
      </c>
      <c r="AC233">
        <f>AB233*D233*10000*VLOOKUP(A233,[1]kcal!$A$2:$C$49,3,FALSE)/1000000000000</f>
        <v>0.57685717076773446</v>
      </c>
    </row>
    <row r="234" spans="1:29" x14ac:dyDescent="0.25">
      <c r="A234" s="171" t="str">
        <f t="shared" si="79"/>
        <v>Roer</v>
      </c>
      <c r="B234" s="171" t="str">
        <f t="shared" si="8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61"/>
        <v>1</v>
      </c>
      <c r="E234" s="171">
        <f t="shared" si="64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2327318.8289159178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100241.37903515603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69"/>
        <v>2227077.4498807616</v>
      </c>
      <c r="P234" s="94">
        <f t="shared" si="65"/>
        <v>1794004.4501021868</v>
      </c>
      <c r="Q234" s="180">
        <f t="shared" si="70"/>
        <v>0</v>
      </c>
      <c r="R234">
        <f>IFERROR(VLOOKUP(A234,[1]Energiindhold!$A$2:$C$11,3,FALSE),IFERROR(VLOOKUP(A234,[1]Biogasudbytte!$A$2:$B$18,2,FALSE)*[1]Energiindhold!$C$10,0))*P234</f>
        <v>4.8689998377553394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4.8689998377553394</v>
      </c>
      <c r="T234">
        <f>IFERROR(VLOOKUP(A234,[1]Biogasudbytte!$A$2:$B$18,2,FALSE)*[1]Energiindhold!$C$10,0)*K234*IFERROR(VLOOKUP(A234,Biogasanlæg!$F$3:$G$8,2,FALSE),1)</f>
        <v>0</v>
      </c>
      <c r="U234" s="170">
        <f t="shared" si="71"/>
        <v>4.8689998377553394</v>
      </c>
      <c r="V234" s="169">
        <f>P234*IFERROR(VLOOKUP(A234,[1]Tørstofindhold!A$2:B$24,2,FALSE),0)</f>
        <v>358800.89002043736</v>
      </c>
      <c r="W234">
        <f>IF(E234=År1,Q234,SUM(P234,Q234))*IFERROR(VLOOKUP(A234,[1]Tørstofindhold!A$2:B$24,2,FALSE),0)</f>
        <v>358800.89002043736</v>
      </c>
      <c r="X234">
        <f>K234*IFERROR(VLOOKUP(A234,[1]Tørstofindhold!A$2:B$24,2,FALSE),0)</f>
        <v>0</v>
      </c>
      <c r="Y234" s="170">
        <f t="shared" si="72"/>
        <v>358800.89002043736</v>
      </c>
      <c r="Z234">
        <f t="shared" si="66"/>
        <v>0</v>
      </c>
      <c r="AA234">
        <f t="shared" si="67"/>
        <v>1</v>
      </c>
      <c r="AB234" s="94">
        <f t="shared" si="68"/>
        <v>2227077.4498807616</v>
      </c>
      <c r="AC234">
        <f>AB234*D234*10000*VLOOKUP(A234,[1]kcal!$A$2:$C$49,3,FALSE)/1000000000000</f>
        <v>0.66812323496422854</v>
      </c>
    </row>
    <row r="235" spans="1:29" x14ac:dyDescent="0.25">
      <c r="A235" s="171" t="str">
        <f t="shared" si="79"/>
        <v>Slagteriaffald til andet</v>
      </c>
      <c r="B235" s="171" t="str">
        <f t="shared" si="8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61"/>
        <v>0</v>
      </c>
      <c r="E235" s="171">
        <f t="shared" si="64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21912.353272016309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69"/>
        <v>21912.353272016309</v>
      </c>
      <c r="P235" s="94">
        <f t="shared" si="65"/>
        <v>0</v>
      </c>
      <c r="Q235" s="180">
        <f t="shared" si="70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71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72"/>
        <v>0</v>
      </c>
      <c r="Z235">
        <f t="shared" si="66"/>
        <v>0</v>
      </c>
      <c r="AA235">
        <f t="shared" si="67"/>
        <v>1</v>
      </c>
      <c r="AB235" s="94">
        <f t="shared" si="68"/>
        <v>21912.353272016309</v>
      </c>
      <c r="AC235">
        <f>AB235*D235*10000*VLOOKUP(A235,[1]kcal!$A$2:$C$49,3,FALSE)/1000000000000</f>
        <v>0</v>
      </c>
    </row>
    <row r="236" spans="1:29" x14ac:dyDescent="0.25">
      <c r="A236" s="171" t="str">
        <f t="shared" si="79"/>
        <v>Slagteriaffald til foder</v>
      </c>
      <c r="B236" s="171" t="str">
        <f t="shared" si="8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61"/>
        <v>0</v>
      </c>
      <c r="E236" s="171">
        <f t="shared" si="64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17658.552594451528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4697.1466214556613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69"/>
        <v>12961.405972995868</v>
      </c>
      <c r="P236" s="94">
        <f t="shared" si="65"/>
        <v>0</v>
      </c>
      <c r="Q236" s="180">
        <f t="shared" si="70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71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72"/>
        <v>0</v>
      </c>
      <c r="Z236">
        <f t="shared" si="66"/>
        <v>0</v>
      </c>
      <c r="AA236">
        <f t="shared" si="67"/>
        <v>1</v>
      </c>
      <c r="AB236" s="94">
        <f t="shared" si="68"/>
        <v>12961.405972995868</v>
      </c>
      <c r="AC236">
        <f>AB236*D236*10000*VLOOKUP(A236,[1]kcal!$A$2:$C$49,3,FALSE)/1000000000000</f>
        <v>0</v>
      </c>
    </row>
    <row r="237" spans="1:29" x14ac:dyDescent="0.25">
      <c r="A237" s="171" t="str">
        <f t="shared" si="79"/>
        <v>Spildevandsslam</v>
      </c>
      <c r="B237" s="171" t="str">
        <f t="shared" si="8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61"/>
        <v>0</v>
      </c>
      <c r="E237" s="171">
        <f t="shared" si="64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3344054.0907642334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2508040.5680731749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69"/>
        <v>836013.52269105846</v>
      </c>
      <c r="P237" s="94">
        <f t="shared" si="65"/>
        <v>836013.52269105846</v>
      </c>
      <c r="Q237" s="180">
        <f t="shared" si="70"/>
        <v>2508040.5680731749</v>
      </c>
      <c r="R237">
        <f>IFERROR(VLOOKUP(A237,[1]Energiindhold!$A$2:$C$11,3,FALSE),IFERROR(VLOOKUP(A237,[1]Biogasudbytte!$A$2:$B$18,2,FALSE)*[1]Energiindhold!$C$10,0))*P237</f>
        <v>0.41717910795806512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1.6687164318322603</v>
      </c>
      <c r="T237">
        <f>IFERROR(VLOOKUP(A237,[1]Biogasudbytte!$A$2:$B$18,2,FALSE)*[1]Energiindhold!$C$10,0)*K237*IFERROR(VLOOKUP(A237,Biogasanlæg!$F$3:$G$8,2,FALSE),1)</f>
        <v>1.2515373238741951</v>
      </c>
      <c r="U237" s="170">
        <f t="shared" si="71"/>
        <v>0.41717910795806512</v>
      </c>
      <c r="V237" s="169">
        <f>P237*IFERROR(VLOOKUP(A237,[1]Tørstofindhold!A$2:B$24,2,FALSE),0)</f>
        <v>50160.811361463508</v>
      </c>
      <c r="W237">
        <f>IF(E237=År1,Q237,SUM(P237,Q237))*IFERROR(VLOOKUP(A237,[1]Tørstofindhold!A$2:B$24,2,FALSE),0)</f>
        <v>200643.245445854</v>
      </c>
      <c r="X237">
        <f>K237*IFERROR(VLOOKUP(A237,[1]Tørstofindhold!A$2:B$24,2,FALSE),0)</f>
        <v>150482.43408439049</v>
      </c>
      <c r="Y237" s="170">
        <f t="shared" si="72"/>
        <v>50160.811361463508</v>
      </c>
      <c r="Z237">
        <f t="shared" si="66"/>
        <v>0</v>
      </c>
      <c r="AA237">
        <f t="shared" si="67"/>
        <v>1</v>
      </c>
      <c r="AB237" s="94">
        <f t="shared" si="68"/>
        <v>836013.52269105846</v>
      </c>
      <c r="AC237">
        <f>AB237*D237*10000*VLOOKUP(A237,[1]kcal!$A$2:$C$49,3,FALSE)/1000000000000</f>
        <v>0</v>
      </c>
    </row>
    <row r="238" spans="1:29" x14ac:dyDescent="0.25">
      <c r="A238" s="171" t="str">
        <f t="shared" si="79"/>
        <v>Svinegylle</v>
      </c>
      <c r="B238" s="171" t="str">
        <f t="shared" si="8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61"/>
        <v>0</v>
      </c>
      <c r="E238" s="171">
        <f t="shared" si="64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2106792.4244348742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1580094.3183261557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526698.10610871855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69"/>
        <v>0</v>
      </c>
      <c r="P238" s="94">
        <f t="shared" si="65"/>
        <v>0</v>
      </c>
      <c r="Q238" s="180">
        <f t="shared" si="70"/>
        <v>1580094.3183261557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0.68070463233490797</v>
      </c>
      <c r="T238">
        <f>IFERROR(VLOOKUP(A238,[1]Biogasudbytte!$A$2:$B$18,2,FALSE)*[1]Energiindhold!$C$10,0)*K238*IFERROR(VLOOKUP(A238,Biogasanlæg!$F$3:$G$8,2,FALSE),1)</f>
        <v>0.68070463233490797</v>
      </c>
      <c r="U238" s="170">
        <f t="shared" si="71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79004.715916307789</v>
      </c>
      <c r="X238">
        <f>K238*IFERROR(VLOOKUP(A238,[1]Tørstofindhold!A$2:B$24,2,FALSE),0)</f>
        <v>79004.715916307789</v>
      </c>
      <c r="Y238" s="170">
        <f t="shared" si="72"/>
        <v>0</v>
      </c>
      <c r="Z238">
        <f t="shared" si="66"/>
        <v>0</v>
      </c>
      <c r="AA238">
        <f t="shared" si="67"/>
        <v>0</v>
      </c>
      <c r="AB238" s="94">
        <f t="shared" si="68"/>
        <v>0</v>
      </c>
      <c r="AC238">
        <f>AB238*D238*10000*VLOOKUP(A238,[1]kcal!$A$2:$C$49,3,FALSE)/1000000000000</f>
        <v>0</v>
      </c>
    </row>
    <row r="239" spans="1:29" x14ac:dyDescent="0.25">
      <c r="A239" s="171" t="str">
        <f t="shared" si="79"/>
        <v>Svinekød</v>
      </c>
      <c r="B239" s="171" t="str">
        <f t="shared" si="8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61"/>
        <v>1</v>
      </c>
      <c r="E239" s="171">
        <f t="shared" si="64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192585.04353697354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69"/>
        <v>87058.60368742561</v>
      </c>
      <c r="P239" s="94">
        <f t="shared" si="65"/>
        <v>0</v>
      </c>
      <c r="Q239" s="180">
        <f t="shared" si="70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71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72"/>
        <v>0</v>
      </c>
      <c r="Z239">
        <f t="shared" si="66"/>
        <v>0</v>
      </c>
      <c r="AA239">
        <f t="shared" si="67"/>
        <v>1</v>
      </c>
      <c r="AB239" s="94">
        <f t="shared" si="68"/>
        <v>192585.04353697354</v>
      </c>
      <c r="AC239">
        <f>AB239*D239*10000*VLOOKUP(A239,[1]kcal!$A$2:$C$49,3,FALSE)/1000000000000</f>
        <v>0.37554083489709839</v>
      </c>
    </row>
    <row r="240" spans="1:29" x14ac:dyDescent="0.25">
      <c r="A240" s="171" t="str">
        <f t="shared" si="79"/>
        <v>Tang</v>
      </c>
      <c r="B240" s="171" t="str">
        <f t="shared" si="8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61"/>
        <v>1</v>
      </c>
      <c r="E240" s="171">
        <f t="shared" si="64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69"/>
        <v>0</v>
      </c>
      <c r="P240" s="94">
        <f t="shared" si="65"/>
        <v>0</v>
      </c>
      <c r="Q240" s="180">
        <f t="shared" si="70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71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72"/>
        <v>0</v>
      </c>
      <c r="Z240">
        <f t="shared" si="66"/>
        <v>0</v>
      </c>
      <c r="AA240">
        <f t="shared" si="67"/>
        <v>1</v>
      </c>
      <c r="AB240" s="94">
        <f t="shared" si="68"/>
        <v>0</v>
      </c>
      <c r="AC240">
        <f>AB240*D240*10000*VLOOKUP(A240,[1]kcal!$A$2:$C$49,3,FALSE)/1000000000000</f>
        <v>0</v>
      </c>
    </row>
    <row r="241" spans="1:29" x14ac:dyDescent="0.25">
      <c r="A241" s="171" t="str">
        <f t="shared" si="79"/>
        <v>Total til biogas</v>
      </c>
      <c r="B241" s="171" t="str">
        <f t="shared" si="8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61"/>
        <v>0</v>
      </c>
      <c r="E241" s="171">
        <f t="shared" si="64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69"/>
        <v>0</v>
      </c>
      <c r="P241" s="94">
        <f t="shared" si="65"/>
        <v>0</v>
      </c>
      <c r="Q241" s="180">
        <f t="shared" si="70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71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72"/>
        <v>0</v>
      </c>
      <c r="Z241">
        <f t="shared" si="66"/>
        <v>0</v>
      </c>
      <c r="AA241">
        <f t="shared" si="67"/>
        <v>0</v>
      </c>
      <c r="AB241" s="94">
        <f t="shared" si="68"/>
        <v>0</v>
      </c>
      <c r="AC241">
        <f>AB241*D241*10000*VLOOKUP(A241,[1]kcal!$A$2:$C$49,3,FALSE)/1000000000000</f>
        <v>0</v>
      </c>
    </row>
    <row r="242" spans="1:29" x14ac:dyDescent="0.25">
      <c r="A242" s="171" t="str">
        <f t="shared" si="79"/>
        <v>Træ til energi</v>
      </c>
      <c r="B242" s="171" t="str">
        <f t="shared" si="8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61"/>
        <v>0</v>
      </c>
      <c r="E242" s="171">
        <f t="shared" si="64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647645.86028338596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647645.86028338596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69"/>
        <v>0</v>
      </c>
      <c r="P242" s="94">
        <f t="shared" ca="1" si="65"/>
        <v>0</v>
      </c>
      <c r="Q242" s="180">
        <f t="shared" ca="1" si="70"/>
        <v>647645.86028338596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9.3866998993191597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71"/>
        <v>9.3866998993191597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320314.84839849127</v>
      </c>
      <c r="X242">
        <f>K242*IFERROR(VLOOKUP(A242,[1]Tørstofindhold!A$2:B$24,2,FALSE),0)</f>
        <v>0</v>
      </c>
      <c r="Y242" s="170">
        <f t="shared" ca="1" si="72"/>
        <v>320314.84839849127</v>
      </c>
      <c r="Z242">
        <f t="shared" ca="1" si="66"/>
        <v>0</v>
      </c>
      <c r="AA242">
        <f t="shared" ca="1" si="67"/>
        <v>0</v>
      </c>
      <c r="AB242" s="94">
        <f t="shared" ca="1" si="68"/>
        <v>647645.86028338596</v>
      </c>
      <c r="AC242">
        <f ca="1">AB242*D242*10000*VLOOKUP(A242,[1]kcal!$A$2:$C$49,3,FALSE)/1000000000000</f>
        <v>0</v>
      </c>
    </row>
    <row r="243" spans="1:29" x14ac:dyDescent="0.25">
      <c r="A243" s="171" t="str">
        <f t="shared" si="79"/>
        <v>Træmaterialer</v>
      </c>
      <c r="B243" s="171" t="str">
        <f t="shared" si="8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61"/>
        <v>0</v>
      </c>
      <c r="E243" s="171">
        <f t="shared" si="64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178235.22139277839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178235.22139277839</v>
      </c>
      <c r="O243" s="179">
        <f t="shared" ca="1" si="69"/>
        <v>0</v>
      </c>
      <c r="P243" s="94">
        <f t="shared" si="65"/>
        <v>0</v>
      </c>
      <c r="Q243" s="180">
        <f t="shared" si="70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71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72"/>
        <v>0</v>
      </c>
      <c r="Z243">
        <f t="shared" ca="1" si="66"/>
        <v>0</v>
      </c>
      <c r="AA243">
        <f t="shared" ca="1" si="67"/>
        <v>0</v>
      </c>
      <c r="AB243" s="94">
        <f t="shared" ca="1" si="68"/>
        <v>178235.22139277839</v>
      </c>
      <c r="AC243">
        <f ca="1">AB243*D243*10000*VLOOKUP(A243,[1]kcal!$A$2:$C$49,3,FALSE)/1000000000000</f>
        <v>0</v>
      </c>
    </row>
    <row r="244" spans="1:29" x14ac:dyDescent="0.25">
      <c r="A244" s="171" t="str">
        <f t="shared" si="79"/>
        <v>Æg</v>
      </c>
      <c r="B244" s="171" t="str">
        <f t="shared" si="8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61"/>
        <v>1</v>
      </c>
      <c r="E244" s="171">
        <f t="shared" ref="E244:E282" si="8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17476.099590900943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69"/>
        <v>-12055.902429201011</v>
      </c>
      <c r="P244" s="94">
        <f t="shared" si="65"/>
        <v>0</v>
      </c>
      <c r="Q244" s="180">
        <f t="shared" si="70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71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72"/>
        <v>0</v>
      </c>
      <c r="Z244">
        <f t="shared" si="66"/>
        <v>0</v>
      </c>
      <c r="AA244">
        <f t="shared" si="67"/>
        <v>1</v>
      </c>
      <c r="AB244" s="94">
        <f t="shared" si="68"/>
        <v>17476.099590900943</v>
      </c>
      <c r="AC244">
        <f>AB244*D244*10000*VLOOKUP(A244,[1]kcal!$A$2:$C$49,3,FALSE)/1000000000000</f>
        <v>2.41170174354433E-2</v>
      </c>
    </row>
    <row r="245" spans="1:29" x14ac:dyDescent="0.25">
      <c r="A245" s="171" t="str">
        <f t="shared" si="79"/>
        <v>Bælgsæd</v>
      </c>
      <c r="B245" s="171" t="str">
        <f t="shared" si="8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82">D197</f>
        <v>1</v>
      </c>
      <c r="E245" s="171">
        <f t="shared" si="8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27963.188224431749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7267.3729665242781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69"/>
        <v>20695.81525790747</v>
      </c>
      <c r="P245" s="94">
        <f t="shared" si="65"/>
        <v>0</v>
      </c>
      <c r="Q245" s="180">
        <f t="shared" si="70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71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72"/>
        <v>0</v>
      </c>
      <c r="Z245">
        <f t="shared" si="66"/>
        <v>0</v>
      </c>
      <c r="AA245">
        <f t="shared" si="67"/>
        <v>1</v>
      </c>
      <c r="AB245" s="94">
        <f t="shared" si="68"/>
        <v>20695.81525790747</v>
      </c>
      <c r="AC245">
        <f>AB245*D245*10000*VLOOKUP(A245,[1]kcal!$A$2:$C$49,3,FALSE)/1000000000000</f>
        <v>0.14373243696616739</v>
      </c>
    </row>
    <row r="246" spans="1:29" x14ac:dyDescent="0.25">
      <c r="A246" s="171" t="str">
        <f t="shared" si="79"/>
        <v>Bioaffald</v>
      </c>
      <c r="B246" s="171" t="str">
        <f t="shared" si="8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82"/>
        <v>0</v>
      </c>
      <c r="E246" s="171">
        <f t="shared" si="8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69"/>
        <v>0</v>
      </c>
      <c r="P246" s="94">
        <f t="shared" ca="1" si="65"/>
        <v>0</v>
      </c>
      <c r="Q246" s="180">
        <f t="shared" ca="1" si="70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71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72"/>
        <v>48241.9504867301</v>
      </c>
      <c r="Z246">
        <f t="shared" ca="1" si="66"/>
        <v>0</v>
      </c>
      <c r="AA246">
        <f t="shared" ca="1" si="67"/>
        <v>0</v>
      </c>
      <c r="AB246" s="94">
        <f t="shared" ca="1" si="68"/>
        <v>172292.68030975034</v>
      </c>
      <c r="AC246">
        <f ca="1">AB246*D246*10000*VLOOKUP(A246,[1]kcal!$A$2:$C$49,3,FALSE)/1000000000000</f>
        <v>0</v>
      </c>
    </row>
    <row r="247" spans="1:29" x14ac:dyDescent="0.25">
      <c r="A247" s="171" t="str">
        <f t="shared" si="79"/>
        <v>Biogas</v>
      </c>
      <c r="B247" s="171" t="str">
        <f t="shared" si="8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82"/>
        <v>0</v>
      </c>
      <c r="E247" s="171">
        <f t="shared" si="8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127770459.38070777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127770459.38070777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69"/>
        <v>0</v>
      </c>
      <c r="P247" s="94">
        <f t="shared" ca="1" si="65"/>
        <v>0</v>
      </c>
      <c r="Q247" s="180">
        <f t="shared" ca="1" si="70"/>
        <v>127770459.38070777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71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72"/>
        <v>0</v>
      </c>
      <c r="Z247">
        <f t="shared" ca="1" si="66"/>
        <v>0</v>
      </c>
      <c r="AA247">
        <f t="shared" ca="1" si="67"/>
        <v>0</v>
      </c>
      <c r="AB247" s="94">
        <f t="shared" ca="1" si="68"/>
        <v>127770459.38070777</v>
      </c>
      <c r="AC247">
        <f ca="1">AB247*D247*10000*VLOOKUP(A247,[1]kcal!$A$2:$C$49,3,FALSE)/1000000000000</f>
        <v>0</v>
      </c>
    </row>
    <row r="248" spans="1:29" x14ac:dyDescent="0.25">
      <c r="A248" s="171" t="str">
        <f t="shared" si="79"/>
        <v>Biogasgylle</v>
      </c>
      <c r="B248" s="171" t="str">
        <f t="shared" si="8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82"/>
        <v>0</v>
      </c>
      <c r="E248" s="171">
        <f t="shared" si="8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5931800.6059544124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4680862.224178886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69"/>
        <v>1250938.3817755263</v>
      </c>
      <c r="P248" s="94">
        <f t="shared" si="65"/>
        <v>0</v>
      </c>
      <c r="Q248" s="180">
        <f t="shared" si="70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71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72"/>
        <v>0</v>
      </c>
      <c r="Z248">
        <f t="shared" ca="1" si="66"/>
        <v>0</v>
      </c>
      <c r="AA248">
        <f t="shared" ca="1" si="67"/>
        <v>1</v>
      </c>
      <c r="AB248" s="94">
        <f t="shared" ca="1" si="68"/>
        <v>1250938.3817755263</v>
      </c>
      <c r="AC248">
        <f ca="1">AB248*D248*10000*VLOOKUP(A248,[1]kcal!$A$2:$C$49,3,FALSE)/1000000000000</f>
        <v>0</v>
      </c>
    </row>
    <row r="249" spans="1:29" x14ac:dyDescent="0.25">
      <c r="A249" s="171" t="str">
        <f t="shared" si="79"/>
        <v>Brun saft</v>
      </c>
      <c r="B249" s="171" t="str">
        <f t="shared" si="8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82"/>
        <v>0</v>
      </c>
      <c r="E249" s="171">
        <f t="shared" si="8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0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0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69"/>
        <v>0</v>
      </c>
      <c r="P249" s="94">
        <f t="shared" si="65"/>
        <v>0</v>
      </c>
      <c r="Q249" s="180">
        <f t="shared" si="70"/>
        <v>0</v>
      </c>
      <c r="R249">
        <f>IFERROR(VLOOKUP(A249,[1]Energiindhold!$A$2:$C$11,3,FALSE),IFERROR(VLOOKUP(A249,[1]Biogasudbytte!$A$2:$B$18,2,FALSE)*[1]Energiindhold!$C$10,0))*P249</f>
        <v>0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</v>
      </c>
      <c r="T249">
        <f>IFERROR(VLOOKUP(A249,[1]Biogasudbytte!$A$2:$B$18,2,FALSE)*[1]Energiindhold!$C$10,0)*K249*IFERROR(VLOOKUP(A249,Biogasanlæg!$F$3:$G$8,2,FALSE),1)</f>
        <v>0</v>
      </c>
      <c r="U249" s="170">
        <f t="shared" si="71"/>
        <v>0</v>
      </c>
      <c r="V249" s="169">
        <f>P249*IFERROR(VLOOKUP(A249,[1]Tørstofindhold!A$2:B$24,2,FALSE),0)</f>
        <v>0</v>
      </c>
      <c r="W249">
        <f>IF(E249=År1,Q249,SUM(P249,Q249))*IFERROR(VLOOKUP(A249,[1]Tørstofindhold!A$2:B$24,2,FALSE),0)</f>
        <v>0</v>
      </c>
      <c r="X249">
        <f>K249*IFERROR(VLOOKUP(A249,[1]Tørstofindhold!A$2:B$24,2,FALSE),0)</f>
        <v>0</v>
      </c>
      <c r="Y249" s="170">
        <f t="shared" si="72"/>
        <v>0</v>
      </c>
      <c r="Z249">
        <f t="shared" si="66"/>
        <v>0</v>
      </c>
      <c r="AA249">
        <f t="shared" si="67"/>
        <v>0</v>
      </c>
      <c r="AB249" s="94">
        <f t="shared" si="68"/>
        <v>0</v>
      </c>
      <c r="AC249">
        <f>AB249*D249*10000*VLOOKUP(A249,[1]kcal!$A$2:$C$49,3,FALSE)/1000000000000</f>
        <v>0</v>
      </c>
    </row>
    <row r="250" spans="1:29" x14ac:dyDescent="0.25">
      <c r="A250" s="171" t="str">
        <f t="shared" si="79"/>
        <v>Dybstrøelse</v>
      </c>
      <c r="B250" s="171" t="str">
        <f t="shared" si="8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82"/>
        <v>0</v>
      </c>
      <c r="E250" s="171">
        <f t="shared" si="8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342152.71828788641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307937.44645909779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12952.924335184269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69"/>
        <v>21262.347493604349</v>
      </c>
      <c r="P250" s="94">
        <f t="shared" si="65"/>
        <v>21262.347493604349</v>
      </c>
      <c r="Q250" s="180">
        <f t="shared" si="70"/>
        <v>307937.44645909779</v>
      </c>
      <c r="R250">
        <f>IFERROR(VLOOKUP(A250,[1]Energiindhold!$A$2:$C$11,3,FALSE),IFERROR(VLOOKUP(A250,[1]Biogasudbytte!$A$2:$B$18,2,FALSE)*[1]Energiindhold!$C$10,0))*P250</f>
        <v>4.5799096501223768E-2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0.70909635617412037</v>
      </c>
      <c r="T250">
        <f>IFERROR(VLOOKUP(A250,[1]Biogasudbytte!$A$2:$B$18,2,FALSE)*[1]Energiindhold!$C$10,0)*K250*IFERROR(VLOOKUP(A250,Biogasanlæg!$F$3:$G$8,2,FALSE),1)</f>
        <v>0.66329725967289666</v>
      </c>
      <c r="U250" s="170">
        <f t="shared" si="71"/>
        <v>4.5799096501223713E-2</v>
      </c>
      <c r="V250" s="169">
        <f>P250*IFERROR(VLOOKUP(A250,[1]Tørstofindhold!A$2:B$24,2,FALSE),0)</f>
        <v>6378.7042480813043</v>
      </c>
      <c r="W250">
        <f>IF(E250=År1,Q250,SUM(P250,Q250))*IFERROR(VLOOKUP(A250,[1]Tørstofindhold!A$2:B$24,2,FALSE),0)</f>
        <v>98759.938185810635</v>
      </c>
      <c r="X250">
        <f>K250*IFERROR(VLOOKUP(A250,[1]Tørstofindhold!A$2:B$24,2,FALSE),0)</f>
        <v>92381.233937729339</v>
      </c>
      <c r="Y250" s="170">
        <f t="shared" si="72"/>
        <v>6378.7042480812961</v>
      </c>
      <c r="Z250">
        <f t="shared" si="66"/>
        <v>0</v>
      </c>
      <c r="AA250">
        <f t="shared" si="67"/>
        <v>1</v>
      </c>
      <c r="AB250" s="94">
        <f t="shared" si="68"/>
        <v>21262.347493604349</v>
      </c>
      <c r="AC250">
        <f>AB250*D250*10000*VLOOKUP(A250,[1]kcal!$A$2:$C$49,3,FALSE)/1000000000000</f>
        <v>0</v>
      </c>
    </row>
    <row r="251" spans="1:29" x14ac:dyDescent="0.25">
      <c r="A251" s="171" t="str">
        <f t="shared" si="79"/>
        <v>Fiberfraktion</v>
      </c>
      <c r="B251" s="171" t="str">
        <f t="shared" si="8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82"/>
        <v>0</v>
      </c>
      <c r="E251" s="171">
        <f t="shared" si="8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0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0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69"/>
        <v>0</v>
      </c>
      <c r="P251" s="94">
        <f t="shared" si="65"/>
        <v>0</v>
      </c>
      <c r="Q251" s="180">
        <f t="shared" si="70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71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72"/>
        <v>0</v>
      </c>
      <c r="Z251">
        <f t="shared" si="66"/>
        <v>0</v>
      </c>
      <c r="AA251">
        <f t="shared" si="67"/>
        <v>0</v>
      </c>
      <c r="AB251" s="94">
        <f t="shared" si="68"/>
        <v>0</v>
      </c>
      <c r="AC251">
        <f>AB251*D251*10000*VLOOKUP(A251,[1]kcal!$A$2:$C$49,3,FALSE)/1000000000000</f>
        <v>0</v>
      </c>
    </row>
    <row r="252" spans="1:29" x14ac:dyDescent="0.25">
      <c r="A252" s="171" t="str">
        <f t="shared" si="79"/>
        <v>Fjerkrægylle</v>
      </c>
      <c r="B252" s="171" t="str">
        <f t="shared" si="8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82"/>
        <v>0</v>
      </c>
      <c r="E252" s="171">
        <f t="shared" si="8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723.09839736855315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650.78855763169781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72.309839736855295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69"/>
        <v>0</v>
      </c>
      <c r="P252" s="94">
        <f t="shared" si="65"/>
        <v>0</v>
      </c>
      <c r="Q252" s="180">
        <f t="shared" si="70"/>
        <v>650.78855763169781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3.0605935076861117E-4</v>
      </c>
      <c r="T252">
        <f>IFERROR(VLOOKUP(A252,[1]Biogasudbytte!$A$2:$B$18,2,FALSE)*[1]Energiindhold!$C$10,0)*K252*IFERROR(VLOOKUP(A252,Biogasanlæg!$F$3:$G$8,2,FALSE),1)</f>
        <v>3.0605935076861117E-4</v>
      </c>
      <c r="U252" s="170">
        <f t="shared" si="71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40.999679130796963</v>
      </c>
      <c r="X252">
        <f>K252*IFERROR(VLOOKUP(A252,[1]Tørstofindhold!A$2:B$24,2,FALSE),0)</f>
        <v>40.999679130796963</v>
      </c>
      <c r="Y252" s="170">
        <f t="shared" si="72"/>
        <v>0</v>
      </c>
      <c r="Z252">
        <f t="shared" si="66"/>
        <v>0</v>
      </c>
      <c r="AA252">
        <f t="shared" si="67"/>
        <v>0</v>
      </c>
      <c r="AB252" s="94">
        <f t="shared" si="68"/>
        <v>0</v>
      </c>
      <c r="AC252">
        <f>AB252*D252*10000*VLOOKUP(A252,[1]kcal!$A$2:$C$49,3,FALSE)/1000000000000</f>
        <v>0</v>
      </c>
    </row>
    <row r="253" spans="1:29" x14ac:dyDescent="0.25">
      <c r="A253" s="171" t="str">
        <f t="shared" si="79"/>
        <v>Fjerkrækød</v>
      </c>
      <c r="B253" s="171" t="str">
        <f t="shared" si="8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82"/>
        <v>1</v>
      </c>
      <c r="E253" s="171">
        <f t="shared" si="8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14575.114892812006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69"/>
        <v>-17417.887295631779</v>
      </c>
      <c r="P253" s="94">
        <f t="shared" si="65"/>
        <v>0</v>
      </c>
      <c r="Q253" s="180">
        <f t="shared" si="70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71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72"/>
        <v>0</v>
      </c>
      <c r="Z253">
        <f t="shared" si="66"/>
        <v>0</v>
      </c>
      <c r="AA253">
        <f t="shared" si="67"/>
        <v>1</v>
      </c>
      <c r="AB253" s="94">
        <f t="shared" si="68"/>
        <v>14575.114892812006</v>
      </c>
      <c r="AC253">
        <f>AB253*D253*10000*VLOOKUP(A253,[1]kcal!$A$2:$C$49,3,FALSE)/1000000000000</f>
        <v>2.2154174637074246E-2</v>
      </c>
    </row>
    <row r="254" spans="1:29" x14ac:dyDescent="0.25">
      <c r="A254" s="171" t="str">
        <f t="shared" si="79"/>
        <v>Frø</v>
      </c>
      <c r="B254" s="171" t="str">
        <f t="shared" si="8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82"/>
        <v>0</v>
      </c>
      <c r="E254" s="171">
        <f t="shared" si="8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619622.98434941436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69"/>
        <v>619622.98434941436</v>
      </c>
      <c r="P254" s="94">
        <f t="shared" si="65"/>
        <v>0</v>
      </c>
      <c r="Q254" s="180">
        <f t="shared" si="70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71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72"/>
        <v>0</v>
      </c>
      <c r="Z254">
        <f t="shared" si="66"/>
        <v>0</v>
      </c>
      <c r="AA254">
        <f t="shared" si="67"/>
        <v>1</v>
      </c>
      <c r="AB254" s="94">
        <f t="shared" si="68"/>
        <v>619622.98434941436</v>
      </c>
      <c r="AC254">
        <f>AB254*D254*10000*VLOOKUP(A254,[1]kcal!$A$2:$C$49,3,FALSE)/1000000000000</f>
        <v>0</v>
      </c>
    </row>
    <row r="255" spans="1:29" x14ac:dyDescent="0.25">
      <c r="A255" s="171" t="str">
        <f t="shared" si="79"/>
        <v>Frugt</v>
      </c>
      <c r="B255" s="171" t="str">
        <f t="shared" si="8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82"/>
        <v>1</v>
      </c>
      <c r="E255" s="171">
        <f t="shared" si="8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16278.266064377463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69"/>
        <v>-217516.74992809634</v>
      </c>
      <c r="P255" s="94">
        <f t="shared" si="65"/>
        <v>0</v>
      </c>
      <c r="Q255" s="180">
        <f t="shared" si="70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71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72"/>
        <v>0</v>
      </c>
      <c r="Z255">
        <f t="shared" si="66"/>
        <v>1</v>
      </c>
      <c r="AA255">
        <f t="shared" si="67"/>
        <v>0</v>
      </c>
      <c r="AB255" s="94">
        <f t="shared" si="68"/>
        <v>16278.266064377463</v>
      </c>
      <c r="AC255">
        <f>AB255*D255*10000*VLOOKUP(A255,[1]kcal!$A$2:$C$49,3,FALSE)/1000000000000</f>
        <v>8.4646983534762809E-3</v>
      </c>
    </row>
    <row r="256" spans="1:29" x14ac:dyDescent="0.25">
      <c r="A256" s="171" t="str">
        <f t="shared" si="79"/>
        <v>Glycerin</v>
      </c>
      <c r="B256" s="171" t="str">
        <f t="shared" si="8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82"/>
        <v>0</v>
      </c>
      <c r="E256" s="171">
        <f t="shared" si="8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28548.400000000001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69"/>
        <v>-28548.400000000001</v>
      </c>
      <c r="P256" s="94">
        <f t="shared" si="65"/>
        <v>0</v>
      </c>
      <c r="Q256" s="180">
        <f t="shared" si="70"/>
        <v>28548.400000000001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0.43389639740160008</v>
      </c>
      <c r="T256">
        <f>IFERROR(VLOOKUP(A256,[1]Biogasudbytte!$A$2:$B$18,2,FALSE)*[1]Energiindhold!$C$10,0)*K256*IFERROR(VLOOKUP(A256,Biogasanlæg!$F$3:$G$8,2,FALSE),1)</f>
        <v>0.43389639740160008</v>
      </c>
      <c r="U256" s="170">
        <f t="shared" si="71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25693.56</v>
      </c>
      <c r="X256">
        <f>K256*IFERROR(VLOOKUP(A256,[1]Tørstofindhold!A$2:B$24,2,FALSE),0)</f>
        <v>25693.56</v>
      </c>
      <c r="Y256" s="170">
        <f t="shared" si="72"/>
        <v>0</v>
      </c>
      <c r="Z256">
        <f t="shared" si="66"/>
        <v>1</v>
      </c>
      <c r="AA256">
        <f t="shared" si="67"/>
        <v>0</v>
      </c>
      <c r="AB256" s="94">
        <f t="shared" si="68"/>
        <v>-28548.400000000001</v>
      </c>
      <c r="AC256">
        <f>AB256*D256*10000*VLOOKUP(A256,[1]kcal!$A$2:$C$49,3,FALSE)/1000000000000</f>
        <v>0</v>
      </c>
    </row>
    <row r="257" spans="1:29" x14ac:dyDescent="0.25">
      <c r="A257" s="171" t="str">
        <f t="shared" si="79"/>
        <v>Græs</v>
      </c>
      <c r="B257" s="171" t="str">
        <f t="shared" si="8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82"/>
        <v>0</v>
      </c>
      <c r="E257" s="171">
        <f t="shared" si="8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2066928.9300738815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1378883.0846623355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0</v>
      </c>
      <c r="O257" s="179">
        <f t="shared" si="69"/>
        <v>688045.84541154606</v>
      </c>
      <c r="P257" s="94">
        <f t="shared" si="65"/>
        <v>688045.84541154606</v>
      </c>
      <c r="Q257" s="180">
        <f t="shared" si="70"/>
        <v>0</v>
      </c>
      <c r="R257">
        <f>IFERROR(VLOOKUP(A257,[1]Energiindhold!$A$2:$C$11,3,FALSE),IFERROR(VLOOKUP(A257,[1]Biogasudbytte!$A$2:$B$18,2,FALSE)*[1]Energiindhold!$C$10,0))*P257</f>
        <v>1.2659183498265685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1.2659183498265685</v>
      </c>
      <c r="T257">
        <f>IFERROR(VLOOKUP(A257,[1]Biogasudbytte!$A$2:$B$18,2,FALSE)*[1]Energiindhold!$C$10,0)*K257*IFERROR(VLOOKUP(A257,Biogasanlæg!$F$3:$G$8,2,FALSE),1)</f>
        <v>0</v>
      </c>
      <c r="U257" s="170">
        <f t="shared" si="71"/>
        <v>1.2659183498265685</v>
      </c>
      <c r="V257" s="169">
        <f>P257*IFERROR(VLOOKUP(A257,[1]Tørstofindhold!A$2:B$24,2,FALSE),0)</f>
        <v>192652.83671523293</v>
      </c>
      <c r="W257">
        <f>IF(E257=År1,Q257,SUM(P257,Q257))*IFERROR(VLOOKUP(A257,[1]Tørstofindhold!A$2:B$24,2,FALSE),0)</f>
        <v>192652.83671523293</v>
      </c>
      <c r="X257">
        <f>K257*IFERROR(VLOOKUP(A257,[1]Tørstofindhold!A$2:B$24,2,FALSE),0)</f>
        <v>0</v>
      </c>
      <c r="Y257" s="170">
        <f t="shared" si="72"/>
        <v>192652.83671523293</v>
      </c>
      <c r="Z257">
        <f t="shared" si="66"/>
        <v>0</v>
      </c>
      <c r="AA257">
        <f t="shared" si="67"/>
        <v>1</v>
      </c>
      <c r="AB257" s="94">
        <f t="shared" si="68"/>
        <v>688045.84541154606</v>
      </c>
      <c r="AC257">
        <f>AB257*D257*10000*VLOOKUP(A257,[1]kcal!$A$2:$C$49,3,FALSE)/1000000000000</f>
        <v>0</v>
      </c>
    </row>
    <row r="258" spans="1:29" x14ac:dyDescent="0.25">
      <c r="A258" s="171" t="str">
        <f t="shared" si="79"/>
        <v>Græsprotein</v>
      </c>
      <c r="B258" s="171" t="str">
        <f t="shared" si="8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82"/>
        <v>0</v>
      </c>
      <c r="E258" s="171">
        <f t="shared" si="8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0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0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69"/>
        <v>0</v>
      </c>
      <c r="P258" s="94">
        <f t="shared" si="65"/>
        <v>0</v>
      </c>
      <c r="Q258" s="180">
        <f t="shared" si="70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71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72"/>
        <v>0</v>
      </c>
      <c r="Z258">
        <f t="shared" si="66"/>
        <v>0</v>
      </c>
      <c r="AA258">
        <f t="shared" si="67"/>
        <v>0</v>
      </c>
      <c r="AB258" s="94">
        <f t="shared" si="68"/>
        <v>0</v>
      </c>
      <c r="AC258">
        <f>AB258*D258*10000*VLOOKUP(A258,[1]kcal!$A$2:$C$49,3,FALSE)/1000000000000</f>
        <v>0</v>
      </c>
    </row>
    <row r="259" spans="1:29" x14ac:dyDescent="0.25">
      <c r="A259" s="171" t="str">
        <f t="shared" si="79"/>
        <v>Grøntsager</v>
      </c>
      <c r="B259" s="171" t="str">
        <f t="shared" si="8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82"/>
        <v>1</v>
      </c>
      <c r="E259" s="171">
        <f t="shared" si="8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100361.40981981652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69"/>
        <v>-144508.10693019553</v>
      </c>
      <c r="P259" s="94">
        <f t="shared" si="65"/>
        <v>0</v>
      </c>
      <c r="Q259" s="180">
        <f t="shared" si="70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71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72"/>
        <v>0</v>
      </c>
      <c r="Z259">
        <f t="shared" si="66"/>
        <v>1</v>
      </c>
      <c r="AA259">
        <f t="shared" si="67"/>
        <v>0</v>
      </c>
      <c r="AB259" s="94">
        <f t="shared" si="68"/>
        <v>100361.40981981652</v>
      </c>
      <c r="AC259">
        <f>AB259*D259*10000*VLOOKUP(A259,[1]kcal!$A$2:$C$49,3,FALSE)/1000000000000</f>
        <v>3.914094982972844E-2</v>
      </c>
    </row>
    <row r="260" spans="1:29" x14ac:dyDescent="0.25">
      <c r="A260" s="171" t="str">
        <f t="shared" si="79"/>
        <v>Halm</v>
      </c>
      <c r="B260" s="171" t="str">
        <f t="shared" si="8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82"/>
        <v>0</v>
      </c>
      <c r="E260" s="171">
        <f t="shared" si="8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1501603.8609770872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87107.539862645164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92961.560520988991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1321534.7605934532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69"/>
        <v>0</v>
      </c>
      <c r="P260" s="94">
        <f t="shared" ref="P260:P275" si="8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70"/>
        <v>1321534.7605934532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13.659127355928229</v>
      </c>
      <c r="T260">
        <f>IFERROR(VLOOKUP(A260,[1]Biogasudbytte!$A$2:$B$18,2,FALSE)*[1]Energiindhold!$C$10,0)*K260*IFERROR(VLOOKUP(A260,Biogasanlæg!$F$3:$G$8,2,FALSE),1)</f>
        <v>0</v>
      </c>
      <c r="U260" s="170">
        <f t="shared" si="71"/>
        <v>13.659127355928229</v>
      </c>
      <c r="V260" s="169">
        <f>P260*IFERROR(VLOOKUP(A260,[1]Tørstofindhold!A$2:B$24,2,FALSE),0)</f>
        <v>0</v>
      </c>
      <c r="W260">
        <f>IF(E260=År1,Q260,SUM(P260,Q260))*IFERROR(VLOOKUP(A260,[1]Tørstofindhold!A$2:B$24,2,FALSE),0)</f>
        <v>1123304.5465044351</v>
      </c>
      <c r="X260">
        <f>K260*IFERROR(VLOOKUP(A260,[1]Tørstofindhold!A$2:B$24,2,FALSE),0)</f>
        <v>0</v>
      </c>
      <c r="Y260" s="170">
        <f t="shared" si="72"/>
        <v>1123304.5465044351</v>
      </c>
      <c r="Z260">
        <f t="shared" ref="Z260:Z275" si="84">IF(SUMIFS($O$4:$O$291,$A$4:$A$291,A260,$E$4:$E$291,E260)&lt;0,1,0)</f>
        <v>0</v>
      </c>
      <c r="AA260">
        <f t="shared" ref="AA260:AA275" si="85">IF(SUMIFS($O$4:$O$291,$A$4:$A$291,A260,$E$4:$E$291,E260)&gt;0,1,0)</f>
        <v>0</v>
      </c>
      <c r="AB260" s="94">
        <f t="shared" si="68"/>
        <v>1321534.760593453</v>
      </c>
      <c r="AC260">
        <f>AB260*D260*10000*VLOOKUP(A260,[1]kcal!$A$2:$C$49,3,FALSE)/1000000000000</f>
        <v>0</v>
      </c>
    </row>
    <row r="261" spans="1:29" x14ac:dyDescent="0.25">
      <c r="A261" s="171" t="str">
        <f t="shared" si="79"/>
        <v>Have/parkaffald</v>
      </c>
      <c r="B261" s="171" t="str">
        <f t="shared" si="8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82"/>
        <v>0</v>
      </c>
      <c r="E261" s="171">
        <f t="shared" si="8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456618.20807643177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1308.8168841700535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69"/>
        <v>0</v>
      </c>
      <c r="P261" s="94">
        <f t="shared" si="83"/>
        <v>0</v>
      </c>
      <c r="Q261" s="180">
        <f t="shared" si="70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0.79873496822573153</v>
      </c>
      <c r="T261">
        <f>IFERROR(VLOOKUP(A261,[1]Biogasudbytte!$A$2:$B$18,2,FALSE)*[1]Energiindhold!$C$10,0)*K261*IFERROR(VLOOKUP(A261,Biogasanlæg!$F$3:$G$8,2,FALSE),1)</f>
        <v>0.77536968058834654</v>
      </c>
      <c r="U261" s="170">
        <f t="shared" si="71"/>
        <v>2.336528763738499E-2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136985.46242292953</v>
      </c>
      <c r="Y261" s="170">
        <f t="shared" si="72"/>
        <v>392.64506525101024</v>
      </c>
      <c r="Z261">
        <f t="shared" si="84"/>
        <v>0</v>
      </c>
      <c r="AA261">
        <f t="shared" si="85"/>
        <v>0</v>
      </c>
      <c r="AB261" s="94">
        <f t="shared" ref="AB261:AB291" si="86">G261-SUMPRODUCT($H$2:$N$2,H261:N261)</f>
        <v>1308.8168841700535</v>
      </c>
      <c r="AC261">
        <f>AB261*D261*10000*VLOOKUP(A261,[1]kcal!$A$2:$C$49,3,FALSE)/1000000000000</f>
        <v>0</v>
      </c>
    </row>
    <row r="262" spans="1:29" x14ac:dyDescent="0.25">
      <c r="A262" s="171" t="str">
        <f t="shared" si="79"/>
        <v>Import af foder</v>
      </c>
      <c r="B262" s="171" t="str">
        <f t="shared" si="8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82"/>
        <v>1</v>
      </c>
      <c r="E262" s="171">
        <f t="shared" si="8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544043.61513285921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69"/>
        <v>-544043.61513285921</v>
      </c>
      <c r="P262" s="94">
        <f t="shared" si="83"/>
        <v>0</v>
      </c>
      <c r="Q262" s="180">
        <f t="shared" si="70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71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72"/>
        <v>0</v>
      </c>
      <c r="Z262">
        <f t="shared" si="84"/>
        <v>1</v>
      </c>
      <c r="AA262">
        <f t="shared" si="85"/>
        <v>0</v>
      </c>
      <c r="AB262" s="94">
        <f t="shared" si="86"/>
        <v>-544043.61513285921</v>
      </c>
      <c r="AC262">
        <f>AB262*D262*10000*VLOOKUP(A262,[1]kcal!$A$2:$C$49,3,FALSE)/1000000000000</f>
        <v>-0.31010486062572973</v>
      </c>
    </row>
    <row r="263" spans="1:29" x14ac:dyDescent="0.25">
      <c r="A263" s="171" t="str">
        <f t="shared" si="79"/>
        <v>Industriaffald</v>
      </c>
      <c r="B263" s="171" t="str">
        <f t="shared" si="8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82"/>
        <v>0</v>
      </c>
      <c r="E263" s="171">
        <f t="shared" si="8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200523.95597408165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69"/>
        <v>200523.95597408165</v>
      </c>
      <c r="P263" s="94">
        <f t="shared" si="83"/>
        <v>200523.95597408165</v>
      </c>
      <c r="Q263" s="180">
        <f t="shared" si="70"/>
        <v>0</v>
      </c>
      <c r="R263">
        <f>IFERROR(VLOOKUP(A263,[1]Energiindhold!$A$2:$C$11,3,FALSE),IFERROR(VLOOKUP(A263,[1]Biogasudbytte!$A$2:$B$18,2,FALSE)*[1]Energiindhold!$C$10,0))*P263</f>
        <v>0.8688963693499725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0.8688963693499725</v>
      </c>
      <c r="T263">
        <f>IFERROR(VLOOKUP(A263,[1]Biogasudbytte!$A$2:$B$18,2,FALSE)*[1]Energiindhold!$C$10,0)*K263*IFERROR(VLOOKUP(A263,Biogasanlæg!$F$3:$G$8,2,FALSE),1)</f>
        <v>0</v>
      </c>
      <c r="U263" s="170">
        <f t="shared" si="71"/>
        <v>0.8688963693499725</v>
      </c>
      <c r="V263" s="169">
        <f>P263*IFERROR(VLOOKUP(A263,[1]Tørstofindhold!A$2:B$24,2,FALSE),0)</f>
        <v>84220.061509114283</v>
      </c>
      <c r="W263">
        <f>IF(E263=År1,Q263,SUM(P263,Q263))*IFERROR(VLOOKUP(A263,[1]Tørstofindhold!A$2:B$24,2,FALSE),0)</f>
        <v>84220.061509114283</v>
      </c>
      <c r="X263">
        <f>K263*IFERROR(VLOOKUP(A263,[1]Tørstofindhold!A$2:B$24,2,FALSE),0)</f>
        <v>0</v>
      </c>
      <c r="Y263" s="170">
        <f t="shared" si="72"/>
        <v>84220.061509114283</v>
      </c>
      <c r="Z263">
        <f t="shared" si="84"/>
        <v>0</v>
      </c>
      <c r="AA263">
        <f t="shared" si="85"/>
        <v>1</v>
      </c>
      <c r="AB263" s="94">
        <f t="shared" si="86"/>
        <v>200523.95597408165</v>
      </c>
      <c r="AC263">
        <f>AB263*D263*10000*VLOOKUP(A263,[1]kcal!$A$2:$C$49,3,FALSE)/1000000000000</f>
        <v>0</v>
      </c>
    </row>
    <row r="264" spans="1:29" x14ac:dyDescent="0.25">
      <c r="A264" s="171" t="str">
        <f t="shared" si="79"/>
        <v>Juletræer</v>
      </c>
      <c r="B264" s="171" t="str">
        <f t="shared" si="8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82"/>
        <v>0</v>
      </c>
      <c r="E264" s="171">
        <f t="shared" si="8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150223.49993632184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69"/>
        <v>150223.49993632184</v>
      </c>
      <c r="P264" s="94">
        <f t="shared" si="83"/>
        <v>0</v>
      </c>
      <c r="Q264" s="180">
        <f t="shared" si="70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71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72"/>
        <v>0</v>
      </c>
      <c r="Z264">
        <f t="shared" si="84"/>
        <v>0</v>
      </c>
      <c r="AA264">
        <f t="shared" si="85"/>
        <v>1</v>
      </c>
      <c r="AB264" s="94">
        <f t="shared" si="86"/>
        <v>150223.49993632184</v>
      </c>
      <c r="AC264">
        <f>AB264*D264*10000*VLOOKUP(A264,[1]kcal!$A$2:$C$49,3,FALSE)/1000000000000</f>
        <v>0</v>
      </c>
    </row>
    <row r="265" spans="1:29" x14ac:dyDescent="0.25">
      <c r="A265" s="171" t="str">
        <f t="shared" si="79"/>
        <v>Kartofler</v>
      </c>
      <c r="B265" s="171" t="str">
        <f t="shared" si="8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82"/>
        <v>1</v>
      </c>
      <c r="E265" s="171">
        <f t="shared" si="8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119162.42345688539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69"/>
        <v>7186.9157973321417</v>
      </c>
      <c r="P265" s="94">
        <f t="shared" si="83"/>
        <v>0</v>
      </c>
      <c r="Q265" s="180">
        <f t="shared" si="70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71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72"/>
        <v>0</v>
      </c>
      <c r="Z265">
        <f t="shared" si="84"/>
        <v>0</v>
      </c>
      <c r="AA265">
        <f t="shared" si="85"/>
        <v>1</v>
      </c>
      <c r="AB265" s="94">
        <f t="shared" si="86"/>
        <v>119162.42345688539</v>
      </c>
      <c r="AC265">
        <f>AB265*D265*10000*VLOOKUP(A265,[1]kcal!$A$2:$C$49,3,FALSE)/1000000000000</f>
        <v>9.2946690296370607E-2</v>
      </c>
    </row>
    <row r="266" spans="1:29" x14ac:dyDescent="0.25">
      <c r="A266" s="171" t="str">
        <f t="shared" si="79"/>
        <v>Korn</v>
      </c>
      <c r="B266" s="171" t="str">
        <f t="shared" si="8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82"/>
        <v>1</v>
      </c>
      <c r="E266" s="171">
        <f t="shared" si="8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2365391.4259483349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662441.233045817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69"/>
        <v>1434701.1745532583</v>
      </c>
      <c r="P266" s="94">
        <f t="shared" si="83"/>
        <v>1434701.1745532583</v>
      </c>
      <c r="Q266" s="180">
        <f t="shared" si="70"/>
        <v>0</v>
      </c>
      <c r="R266">
        <f>IFERROR(VLOOKUP(A266,[1]Energiindhold!$A$2:$C$11,3,FALSE),IFERROR(VLOOKUP(A266,[1]Biogasudbytte!$A$2:$B$18,2,FALSE)*[1]Energiindhold!$C$10,0))*P266</f>
        <v>4.913650664680473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4.913650664680473</v>
      </c>
      <c r="T266">
        <f>IFERROR(VLOOKUP(A266,[1]Biogasudbytte!$A$2:$B$18,2,FALSE)*[1]Energiindhold!$C$10,0)*K266*IFERROR(VLOOKUP(A266,Biogasanlæg!$F$3:$G$8,2,FALSE),1)</f>
        <v>0</v>
      </c>
      <c r="U266" s="170">
        <f t="shared" si="71"/>
        <v>4.913650664680473</v>
      </c>
      <c r="V266" s="169">
        <f>P266*IFERROR(VLOOKUP(A266,[1]Tørstofindhold!A$2:B$24,2,FALSE),0)</f>
        <v>444757.36411151011</v>
      </c>
      <c r="W266">
        <f>IF(E266=År1,Q266,SUM(P266,Q266))*IFERROR(VLOOKUP(A266,[1]Tørstofindhold!A$2:B$24,2,FALSE),0)</f>
        <v>444757.36411151011</v>
      </c>
      <c r="X266">
        <f>K266*IFERROR(VLOOKUP(A266,[1]Tørstofindhold!A$2:B$24,2,FALSE),0)</f>
        <v>0</v>
      </c>
      <c r="Y266" s="170">
        <f t="shared" si="72"/>
        <v>444757.36411151011</v>
      </c>
      <c r="Z266">
        <f t="shared" si="84"/>
        <v>0</v>
      </c>
      <c r="AA266">
        <f t="shared" si="85"/>
        <v>1</v>
      </c>
      <c r="AB266" s="94">
        <f t="shared" si="86"/>
        <v>1702950.192902518</v>
      </c>
      <c r="AC266">
        <f>AB266*D266*10000*VLOOKUP(A266,[1]kcal!$A$2:$C$49,3,FALSE)/1000000000000</f>
        <v>6.2327977060232156</v>
      </c>
    </row>
    <row r="267" spans="1:29" x14ac:dyDescent="0.25">
      <c r="A267" s="171" t="str">
        <f t="shared" si="79"/>
        <v>Kunstgødning</v>
      </c>
      <c r="B267" s="171" t="str">
        <f t="shared" si="8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82"/>
        <v>0</v>
      </c>
      <c r="E267" s="171">
        <f t="shared" si="8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288937.99053379206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69"/>
        <v>-288937.99053379206</v>
      </c>
      <c r="P267" s="94">
        <f t="shared" si="83"/>
        <v>0</v>
      </c>
      <c r="Q267" s="180">
        <f t="shared" si="70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71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72"/>
        <v>0</v>
      </c>
      <c r="Z267">
        <f t="shared" ca="1" si="84"/>
        <v>1</v>
      </c>
      <c r="AA267">
        <f t="shared" ca="1" si="85"/>
        <v>0</v>
      </c>
      <c r="AB267" s="94">
        <f t="shared" ca="1" si="86"/>
        <v>-288937.99053379206</v>
      </c>
      <c r="AC267">
        <f ca="1">AB267*D267*10000*VLOOKUP(A267,[1]kcal!$A$2:$C$49,3,FALSE)/1000000000000</f>
        <v>0</v>
      </c>
    </row>
    <row r="268" spans="1:29" x14ac:dyDescent="0.25">
      <c r="A268" s="171" t="str">
        <f t="shared" si="79"/>
        <v>Kvæggylle</v>
      </c>
      <c r="B268" s="171" t="str">
        <f t="shared" si="8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82"/>
        <v>0</v>
      </c>
      <c r="E268" s="171">
        <f t="shared" si="8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905156.40673249087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814640.76605924184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90515.640673249072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69"/>
        <v>0</v>
      </c>
      <c r="P268" s="94">
        <f t="shared" si="83"/>
        <v>0</v>
      </c>
      <c r="Q268" s="180">
        <f t="shared" si="70"/>
        <v>814640.76605924184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0.4123630093715277</v>
      </c>
      <c r="T268">
        <f>IFERROR(VLOOKUP(A268,[1]Biogasudbytte!$A$2:$B$18,2,FALSE)*[1]Energiindhold!$C$10,0)*K268*IFERROR(VLOOKUP(A268,Biogasanlæg!$F$3:$G$8,2,FALSE),1)</f>
        <v>0.4123630093715277</v>
      </c>
      <c r="U268" s="170">
        <f t="shared" si="71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61912.698220502381</v>
      </c>
      <c r="X268">
        <f>K268*IFERROR(VLOOKUP(A268,[1]Tørstofindhold!A$2:B$24,2,FALSE),0)</f>
        <v>61912.698220502381</v>
      </c>
      <c r="Y268" s="170">
        <f t="shared" si="72"/>
        <v>0</v>
      </c>
      <c r="Z268">
        <f t="shared" si="84"/>
        <v>0</v>
      </c>
      <c r="AA268">
        <f t="shared" si="85"/>
        <v>0</v>
      </c>
      <c r="AB268" s="94">
        <f t="shared" si="86"/>
        <v>0</v>
      </c>
      <c r="AC268">
        <f>AB268*D268*10000*VLOOKUP(A268,[1]kcal!$A$2:$C$49,3,FALSE)/1000000000000</f>
        <v>0</v>
      </c>
    </row>
    <row r="269" spans="1:29" x14ac:dyDescent="0.25">
      <c r="A269" s="171" t="str">
        <f t="shared" si="79"/>
        <v>Mælk til foder</v>
      </c>
      <c r="B269" s="171" t="str">
        <f t="shared" si="8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82"/>
        <v>0</v>
      </c>
      <c r="E269" s="171">
        <f t="shared" si="8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113070.46736338305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170783.26471332053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69"/>
        <v>-57712.797349937478</v>
      </c>
      <c r="P269" s="94">
        <f t="shared" si="83"/>
        <v>0</v>
      </c>
      <c r="Q269" s="180">
        <f t="shared" si="70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71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72"/>
        <v>0</v>
      </c>
      <c r="Z269">
        <f t="shared" si="84"/>
        <v>0</v>
      </c>
      <c r="AA269">
        <f t="shared" si="85"/>
        <v>1</v>
      </c>
      <c r="AB269" s="94">
        <f t="shared" si="86"/>
        <v>-57712.797349937478</v>
      </c>
      <c r="AC269">
        <f>AB269*D269*10000*VLOOKUP(A269,[1]kcal!$A$2:$C$49,3,FALSE)/1000000000000</f>
        <v>0</v>
      </c>
    </row>
    <row r="270" spans="1:29" x14ac:dyDescent="0.25">
      <c r="A270" s="171" t="str">
        <f t="shared" si="79"/>
        <v>Majs</v>
      </c>
      <c r="B270" s="171" t="str">
        <f t="shared" si="8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82"/>
        <v>1</v>
      </c>
      <c r="E270" s="171">
        <f t="shared" si="8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385351.77925728471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637409.17060556682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69"/>
        <v>-252057.39134828211</v>
      </c>
      <c r="P270" s="94">
        <f t="shared" si="83"/>
        <v>0</v>
      </c>
      <c r="Q270" s="180">
        <f t="shared" si="70"/>
        <v>0</v>
      </c>
      <c r="R270">
        <f>IFERROR(VLOOKUP(A270,[1]Energiindhold!$A$2:$C$11,3,FALSE),IFERROR(VLOOKUP(A270,[1]Biogasudbytte!$A$2:$B$18,2,FALSE)*[1]Energiindhold!$C$10,0))*P270</f>
        <v>0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</v>
      </c>
      <c r="T270">
        <f>IFERROR(VLOOKUP(A270,[1]Biogasudbytte!$A$2:$B$18,2,FALSE)*[1]Energiindhold!$C$10,0)*K270*IFERROR(VLOOKUP(A270,Biogasanlæg!$F$3:$G$8,2,FALSE),1)</f>
        <v>0</v>
      </c>
      <c r="U270" s="170">
        <f t="shared" si="71"/>
        <v>0</v>
      </c>
      <c r="V270" s="169">
        <f>P270*IFERROR(VLOOKUP(A270,[1]Tørstofindhold!A$2:B$24,2,FALSE),0)</f>
        <v>0</v>
      </c>
      <c r="W270">
        <f>IF(E270=År1,Q270,SUM(P270,Q270))*IFERROR(VLOOKUP(A270,[1]Tørstofindhold!A$2:B$24,2,FALSE),0)</f>
        <v>0</v>
      </c>
      <c r="X270">
        <f>K270*IFERROR(VLOOKUP(A270,[1]Tørstofindhold!A$2:B$24,2,FALSE),0)</f>
        <v>0</v>
      </c>
      <c r="Y270" s="170">
        <f t="shared" si="72"/>
        <v>0</v>
      </c>
      <c r="Z270">
        <f t="shared" si="84"/>
        <v>0</v>
      </c>
      <c r="AA270">
        <f t="shared" si="85"/>
        <v>1</v>
      </c>
      <c r="AB270" s="94">
        <f t="shared" si="86"/>
        <v>-252057.39134828211</v>
      </c>
      <c r="AC270">
        <f>AB270*D270*10000*VLOOKUP(A270,[1]kcal!$A$2:$C$49,3,FALSE)/1000000000000</f>
        <v>-0.2293722261269367</v>
      </c>
    </row>
    <row r="271" spans="1:29" x14ac:dyDescent="0.25">
      <c r="A271" s="171" t="str">
        <f t="shared" si="79"/>
        <v>Mejeriprodukter</v>
      </c>
      <c r="B271" s="171" t="str">
        <f t="shared" si="8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82"/>
        <v>1</v>
      </c>
      <c r="E271" s="171">
        <f t="shared" si="8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218167.31964379738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69"/>
        <v>-210046.70964768095</v>
      </c>
      <c r="P271" s="94">
        <f t="shared" si="83"/>
        <v>0</v>
      </c>
      <c r="Q271" s="180">
        <f t="shared" si="70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71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72"/>
        <v>0</v>
      </c>
      <c r="Z271">
        <f t="shared" si="84"/>
        <v>0</v>
      </c>
      <c r="AA271">
        <f t="shared" si="85"/>
        <v>1</v>
      </c>
      <c r="AB271" s="94">
        <f t="shared" si="86"/>
        <v>218167.31964379738</v>
      </c>
      <c r="AC271">
        <f>AB271*D271*10000*VLOOKUP(A271,[1]kcal!$A$2:$C$49,3,FALSE)/1000000000000</f>
        <v>0.13744541137559235</v>
      </c>
    </row>
    <row r="272" spans="1:29" x14ac:dyDescent="0.25">
      <c r="A272" s="171" t="str">
        <f t="shared" si="79"/>
        <v>Muslinger</v>
      </c>
      <c r="B272" s="171" t="str">
        <f t="shared" si="8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82"/>
        <v>1</v>
      </c>
      <c r="E272" s="171">
        <f t="shared" si="8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69"/>
        <v>1.1976865502381491</v>
      </c>
      <c r="P272" s="94">
        <f t="shared" si="83"/>
        <v>1.1976865502381491</v>
      </c>
      <c r="Q272" s="180">
        <f t="shared" si="70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71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72"/>
        <v>0.17965298253572234</v>
      </c>
      <c r="Z272">
        <f t="shared" si="84"/>
        <v>0</v>
      </c>
      <c r="AA272">
        <f t="shared" si="85"/>
        <v>1</v>
      </c>
      <c r="AB272" s="94">
        <f t="shared" si="86"/>
        <v>1.1976865502381491</v>
      </c>
      <c r="AC272">
        <f>AB272*D272*10000*VLOOKUP(A272,[1]kcal!$A$2:$C$49,3,FALSE)/1000000000000</f>
        <v>9.9407983669766362E-7</v>
      </c>
    </row>
    <row r="273" spans="1:29" x14ac:dyDescent="0.25">
      <c r="A273" s="171" t="str">
        <f t="shared" si="79"/>
        <v>Oksekød</v>
      </c>
      <c r="B273" s="171" t="str">
        <f t="shared" si="8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82"/>
        <v>1</v>
      </c>
      <c r="E273" s="171">
        <f t="shared" si="8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7305.5635465813803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69"/>
        <v>-47107.150175456467</v>
      </c>
      <c r="P273" s="94">
        <f t="shared" si="83"/>
        <v>0</v>
      </c>
      <c r="Q273" s="180">
        <f t="shared" si="70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71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72"/>
        <v>0</v>
      </c>
      <c r="Z273">
        <f t="shared" si="84"/>
        <v>1</v>
      </c>
      <c r="AA273">
        <f t="shared" si="85"/>
        <v>0</v>
      </c>
      <c r="AB273" s="94">
        <f t="shared" si="86"/>
        <v>7305.5635465813803</v>
      </c>
      <c r="AC273">
        <f>AB273*D273*10000*VLOOKUP(A273,[1]kcal!$A$2:$C$49,3,FALSE)/1000000000000</f>
        <v>1.424584891583369E-2</v>
      </c>
    </row>
    <row r="274" spans="1:29" x14ac:dyDescent="0.25">
      <c r="A274" s="171" t="str">
        <f t="shared" si="79"/>
        <v>Øvrige</v>
      </c>
      <c r="B274" s="171" t="str">
        <f t="shared" si="8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82"/>
        <v>1</v>
      </c>
      <c r="E274" s="171">
        <f t="shared" si="8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407929.68166494544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69"/>
        <v>407929.68166494544</v>
      </c>
      <c r="P274" s="94">
        <f t="shared" si="83"/>
        <v>0</v>
      </c>
      <c r="Q274" s="180">
        <f t="shared" si="70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71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72"/>
        <v>0</v>
      </c>
      <c r="Z274">
        <f t="shared" si="84"/>
        <v>0</v>
      </c>
      <c r="AA274">
        <f t="shared" si="85"/>
        <v>1</v>
      </c>
      <c r="AB274" s="94">
        <f t="shared" si="86"/>
        <v>407929.68166494544</v>
      </c>
      <c r="AC274">
        <f>AB274*D274*10000*VLOOKUP(A274,[1]kcal!$A$2:$C$49,3,FALSE)/1000000000000</f>
        <v>0.15909257584932873</v>
      </c>
    </row>
    <row r="275" spans="1:29" x14ac:dyDescent="0.25">
      <c r="A275" s="171" t="str">
        <f t="shared" si="79"/>
        <v>Pil &amp; poppel</v>
      </c>
      <c r="B275" s="171" t="str">
        <f t="shared" si="8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82"/>
        <v>0</v>
      </c>
      <c r="E275" s="171">
        <f t="shared" si="8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36959.622363047813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36959.622363047813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69"/>
        <v>0</v>
      </c>
      <c r="P275" s="94">
        <f t="shared" si="83"/>
        <v>0</v>
      </c>
      <c r="Q275" s="180">
        <f t="shared" si="70"/>
        <v>36959.622363047813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0.68005705148007967</v>
      </c>
      <c r="T275">
        <f>IFERROR(VLOOKUP(A275,[1]Biogasudbytte!$A$2:$B$18,2,FALSE)*[1]Energiindhold!$C$10,0)*K275*IFERROR(VLOOKUP(A275,Biogasanlæg!$F$3:$G$8,2,FALSE),1)</f>
        <v>0</v>
      </c>
      <c r="U275" s="170">
        <f t="shared" si="71"/>
        <v>0.68005705148007967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15338.243280664843</v>
      </c>
      <c r="X275">
        <f>K275*IFERROR(VLOOKUP(A275,[1]Tørstofindhold!A$2:B$24,2,FALSE),0)</f>
        <v>0</v>
      </c>
      <c r="Y275" s="170">
        <f t="shared" si="72"/>
        <v>15338.243280664843</v>
      </c>
      <c r="Z275">
        <f t="shared" si="84"/>
        <v>0</v>
      </c>
      <c r="AA275">
        <f t="shared" si="85"/>
        <v>0</v>
      </c>
      <c r="AB275" s="94">
        <f t="shared" si="86"/>
        <v>36959.622363047813</v>
      </c>
      <c r="AC275">
        <f>AB275*D275*10000*VLOOKUP(A275,[1]kcal!$A$2:$C$49,3,FALSE)/1000000000000</f>
        <v>0</v>
      </c>
    </row>
    <row r="276" spans="1:29" x14ac:dyDescent="0.25">
      <c r="A276" s="171" t="str">
        <f t="shared" ref="A276:A277" si="87">A228</f>
        <v>Pyrolysegas</v>
      </c>
      <c r="B276" s="171" t="str">
        <f t="shared" ref="B276:B277" si="88"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82"/>
        <v>0</v>
      </c>
      <c r="E276" s="171">
        <f t="shared" si="8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 t="shared" ref="O276:O277" si="89">G276-SUM(H276:N276)</f>
        <v>0</v>
      </c>
      <c r="P276" s="94">
        <f t="shared" ref="P276:P277" si="90"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 t="shared" ref="Q276:Q277" si="91"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 t="shared" ref="U276:U277" si="92"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 t="shared" ref="Y276:Y277" si="93">W276-X276</f>
        <v>0</v>
      </c>
      <c r="Z276">
        <f t="shared" ref="Z276:Z277" si="94">IF(SUMIFS($O$4:$O$291,$A$4:$A$291,A276,$E$4:$E$291,E276)&lt;0,1,0)</f>
        <v>0</v>
      </c>
      <c r="AA276">
        <f t="shared" ref="AA276:AA277" si="95">IF(SUMIFS($O$4:$O$291,$A$4:$A$291,A276,$E$4:$E$291,E276)&gt;0,1,0)</f>
        <v>0</v>
      </c>
      <c r="AB276" s="94">
        <f t="shared" si="86"/>
        <v>0</v>
      </c>
      <c r="AC276">
        <f>AB276*D276*10000*VLOOKUP(A276,[1]kcal!$A$2:$C$49,3,FALSE)/1000000000000</f>
        <v>0</v>
      </c>
    </row>
    <row r="277" spans="1:29" x14ac:dyDescent="0.25">
      <c r="A277" s="171" t="str">
        <f t="shared" si="87"/>
        <v>Pyrolyseolie</v>
      </c>
      <c r="B277" s="171" t="str">
        <f t="shared" si="88"/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82"/>
        <v>0</v>
      </c>
      <c r="E277" s="171">
        <f t="shared" si="8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 t="shared" si="89"/>
        <v>0</v>
      </c>
      <c r="P277" s="94">
        <f t="shared" si="90"/>
        <v>0</v>
      </c>
      <c r="Q277" s="180">
        <f t="shared" si="91"/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 t="shared" si="92"/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 t="shared" si="93"/>
        <v>0</v>
      </c>
      <c r="Z277">
        <f t="shared" si="94"/>
        <v>0</v>
      </c>
      <c r="AA277">
        <f t="shared" si="95"/>
        <v>0</v>
      </c>
      <c r="AB277" s="94">
        <f t="shared" si="86"/>
        <v>0</v>
      </c>
      <c r="AC277">
        <f>AB277*D277*10000*VLOOKUP(A277,[1]kcal!$A$2:$C$49,3,FALSE)/1000000000000</f>
        <v>0</v>
      </c>
    </row>
    <row r="278" spans="1:29" x14ac:dyDescent="0.25">
      <c r="A278" s="171" t="str">
        <f t="shared" ref="A278:A291" si="96">A230</f>
        <v>Råmælk</v>
      </c>
      <c r="B278" s="171" t="str">
        <f t="shared" ref="B278:B291" si="9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82"/>
        <v>0</v>
      </c>
      <c r="E278" s="171">
        <f t="shared" si="8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339731.06359710812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69"/>
        <v>339731.06359710812</v>
      </c>
      <c r="P278" s="94">
        <f t="shared" ref="P278:P291" si="9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70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71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72"/>
        <v>0</v>
      </c>
      <c r="Z278">
        <f t="shared" ref="Z278:Z291" si="99">IF(SUMIFS($O$4:$O$291,$A$4:$A$291,A278,$E$4:$E$291,E278)&lt;0,1,0)</f>
        <v>0</v>
      </c>
      <c r="AA278">
        <f t="shared" ref="AA278:AA291" si="100">IF(SUMIFS($O$4:$O$291,$A$4:$A$291,A278,$E$4:$E$291,E278)&gt;0,1,0)</f>
        <v>1</v>
      </c>
      <c r="AB278" s="94">
        <f t="shared" si="86"/>
        <v>339731.06359710812</v>
      </c>
      <c r="AC278">
        <f>AB278*D278*10000*VLOOKUP(A278,[1]kcal!$A$2:$C$49,3,FALSE)/1000000000000</f>
        <v>0</v>
      </c>
    </row>
    <row r="279" spans="1:29" x14ac:dyDescent="0.25">
      <c r="A279" s="171" t="str">
        <f t="shared" si="96"/>
        <v>Raps</v>
      </c>
      <c r="B279" s="171" t="str">
        <f t="shared" si="9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82"/>
        <v>0</v>
      </c>
      <c r="E279" s="171">
        <f t="shared" si="8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200042.64483548011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200042.64483548011</v>
      </c>
      <c r="O279" s="179">
        <f t="shared" si="69"/>
        <v>0</v>
      </c>
      <c r="P279" s="94">
        <f t="shared" si="98"/>
        <v>0</v>
      </c>
      <c r="Q279" s="180">
        <f t="shared" si="70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71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72"/>
        <v>0</v>
      </c>
      <c r="Z279">
        <f t="shared" si="99"/>
        <v>0</v>
      </c>
      <c r="AA279">
        <f t="shared" si="100"/>
        <v>0</v>
      </c>
      <c r="AB279" s="94">
        <f t="shared" si="86"/>
        <v>200042.64483548011</v>
      </c>
      <c r="AC279">
        <f>AB279*D279*10000*VLOOKUP(A279,[1]kcal!$A$2:$C$49,3,FALSE)/1000000000000</f>
        <v>0</v>
      </c>
    </row>
    <row r="280" spans="1:29" x14ac:dyDescent="0.25">
      <c r="A280" s="171" t="str">
        <f t="shared" si="96"/>
        <v>Rapskage</v>
      </c>
      <c r="B280" s="171" t="str">
        <f t="shared" si="9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82"/>
        <v>0</v>
      </c>
      <c r="E280" s="171">
        <f t="shared" si="8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100021.32241774006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24123.640819434757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69"/>
        <v>75897.681598305295</v>
      </c>
      <c r="P280" s="94">
        <f t="shared" si="98"/>
        <v>0</v>
      </c>
      <c r="Q280" s="180">
        <f t="shared" si="70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71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72"/>
        <v>0</v>
      </c>
      <c r="Z280">
        <f t="shared" si="99"/>
        <v>0</v>
      </c>
      <c r="AA280">
        <f t="shared" si="100"/>
        <v>1</v>
      </c>
      <c r="AB280" s="94">
        <f t="shared" si="86"/>
        <v>75897.681598305295</v>
      </c>
      <c r="AC280">
        <f>AB280*D280*10000*VLOOKUP(A280,[1]kcal!$A$2:$C$49,3,FALSE)/1000000000000</f>
        <v>0</v>
      </c>
    </row>
    <row r="281" spans="1:29" x14ac:dyDescent="0.25">
      <c r="A281" s="171" t="str">
        <f t="shared" si="96"/>
        <v>Rapsolie</v>
      </c>
      <c r="B281" s="171" t="str">
        <f t="shared" si="9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82"/>
        <v>1</v>
      </c>
      <c r="E281" s="171">
        <f t="shared" si="8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64013.646347353635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64013.646347353635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69"/>
        <v>0</v>
      </c>
      <c r="P281" s="94">
        <f t="shared" si="98"/>
        <v>0</v>
      </c>
      <c r="Q281" s="180">
        <f t="shared" si="70"/>
        <v>64013.646347353635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2.240477622157377</v>
      </c>
      <c r="T281">
        <f>IFERROR(VLOOKUP(A281,[1]Biogasudbytte!$A$2:$B$18,2,FALSE)*[1]Energiindhold!$C$10,0)*K281*IFERROR(VLOOKUP(A281,Biogasanlæg!$F$3:$G$8,2,FALSE),1)</f>
        <v>0</v>
      </c>
      <c r="U281" s="170">
        <f t="shared" si="71"/>
        <v>2.240477622157377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72"/>
        <v>0</v>
      </c>
      <c r="Z281">
        <f t="shared" si="99"/>
        <v>0</v>
      </c>
      <c r="AA281">
        <f t="shared" si="100"/>
        <v>0</v>
      </c>
      <c r="AB281" s="94">
        <f t="shared" si="86"/>
        <v>64013.646347353635</v>
      </c>
      <c r="AC281">
        <f>AB281*D281*10000*VLOOKUP(A281,[1]kcal!$A$2:$C$49,3,FALSE)/1000000000000</f>
        <v>0.57612281712618274</v>
      </c>
    </row>
    <row r="282" spans="1:29" x14ac:dyDescent="0.25">
      <c r="A282" s="171" t="str">
        <f t="shared" si="96"/>
        <v>Roer</v>
      </c>
      <c r="B282" s="171" t="str">
        <f t="shared" si="9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82"/>
        <v>1</v>
      </c>
      <c r="E282" s="171">
        <f t="shared" si="8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2337477.1247217245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94778.655771754129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69"/>
        <v>2242698.4689499703</v>
      </c>
      <c r="P282" s="94">
        <f t="shared" si="98"/>
        <v>1830597.0172306281</v>
      </c>
      <c r="Q282" s="180">
        <f t="shared" si="70"/>
        <v>0</v>
      </c>
      <c r="R282">
        <f>IFERROR(VLOOKUP(A282,[1]Energiindhold!$A$2:$C$11,3,FALSE),IFERROR(VLOOKUP(A282,[1]Biogasudbytte!$A$2:$B$18,2,FALSE)*[1]Energiindhold!$C$10,0))*P282</f>
        <v>4.9683135286446136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4.9683135286446136</v>
      </c>
      <c r="T282">
        <f>IFERROR(VLOOKUP(A282,[1]Biogasudbytte!$A$2:$B$18,2,FALSE)*[1]Energiindhold!$C$10,0)*K282*IFERROR(VLOOKUP(A282,Biogasanlæg!$F$3:$G$8,2,FALSE),1)</f>
        <v>0</v>
      </c>
      <c r="U282" s="170">
        <f t="shared" si="71"/>
        <v>4.9683135286446136</v>
      </c>
      <c r="V282" s="169">
        <f>P282*IFERROR(VLOOKUP(A282,[1]Tørstofindhold!A$2:B$24,2,FALSE),0)</f>
        <v>366119.40344612562</v>
      </c>
      <c r="W282">
        <f>IF(E282=År1,Q282,SUM(P282,Q282))*IFERROR(VLOOKUP(A282,[1]Tørstofindhold!A$2:B$24,2,FALSE),0)</f>
        <v>366119.40344612562</v>
      </c>
      <c r="X282">
        <f>K282*IFERROR(VLOOKUP(A282,[1]Tørstofindhold!A$2:B$24,2,FALSE),0)</f>
        <v>0</v>
      </c>
      <c r="Y282" s="170">
        <f t="shared" si="72"/>
        <v>366119.40344612562</v>
      </c>
      <c r="Z282">
        <f t="shared" si="99"/>
        <v>0</v>
      </c>
      <c r="AA282">
        <f t="shared" si="100"/>
        <v>1</v>
      </c>
      <c r="AB282" s="94">
        <f t="shared" si="86"/>
        <v>2242698.4689499703</v>
      </c>
      <c r="AC282">
        <f>AB282*D282*10000*VLOOKUP(A282,[1]kcal!$A$2:$C$49,3,FALSE)/1000000000000</f>
        <v>0.6728095406849911</v>
      </c>
    </row>
    <row r="283" spans="1:29" x14ac:dyDescent="0.25">
      <c r="A283" s="171" t="str">
        <f t="shared" si="96"/>
        <v>Slagteriaffald til andet</v>
      </c>
      <c r="B283" s="171" t="str">
        <f t="shared" si="9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82"/>
        <v>0</v>
      </c>
      <c r="E283" s="171">
        <f t="shared" ref="E283:E291" si="10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20186.20419193256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102">G283-SUM(H283:N283)</f>
        <v>20186.20419193256</v>
      </c>
      <c r="P283" s="94">
        <f t="shared" si="98"/>
        <v>0</v>
      </c>
      <c r="Q283" s="180">
        <f t="shared" ref="Q283:Q291" si="10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10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105">W283-X283</f>
        <v>0</v>
      </c>
      <c r="Z283">
        <f t="shared" si="99"/>
        <v>0</v>
      </c>
      <c r="AA283">
        <f t="shared" si="100"/>
        <v>1</v>
      </c>
      <c r="AB283" s="94">
        <f t="shared" si="86"/>
        <v>20186.20419193256</v>
      </c>
      <c r="AC283">
        <f>AB283*D283*10000*VLOOKUP(A283,[1]kcal!$A$2:$C$49,3,FALSE)/1000000000000</f>
        <v>0</v>
      </c>
    </row>
    <row r="284" spans="1:29" x14ac:dyDescent="0.25">
      <c r="A284" s="171" t="str">
        <f t="shared" si="96"/>
        <v>Slagteriaffald til foder</v>
      </c>
      <c r="B284" s="171" t="str">
        <f t="shared" si="9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82"/>
        <v>0</v>
      </c>
      <c r="E284" s="171">
        <f t="shared" si="10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16053.966219959522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4441.1723684315039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102"/>
        <v>11612.793851528018</v>
      </c>
      <c r="P284" s="94">
        <f t="shared" si="98"/>
        <v>0</v>
      </c>
      <c r="Q284" s="180">
        <f t="shared" si="10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10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105"/>
        <v>0</v>
      </c>
      <c r="Z284">
        <f t="shared" si="99"/>
        <v>0</v>
      </c>
      <c r="AA284">
        <f t="shared" si="100"/>
        <v>1</v>
      </c>
      <c r="AB284" s="94">
        <f t="shared" si="86"/>
        <v>11612.793851528018</v>
      </c>
      <c r="AC284">
        <f>AB284*D284*10000*VLOOKUP(A284,[1]kcal!$A$2:$C$49,3,FALSE)/1000000000000</f>
        <v>0</v>
      </c>
    </row>
    <row r="285" spans="1:29" x14ac:dyDescent="0.25">
      <c r="A285" s="171" t="str">
        <f t="shared" si="96"/>
        <v>Spildevandsslam</v>
      </c>
      <c r="B285" s="171" t="str">
        <f t="shared" si="9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82"/>
        <v>0</v>
      </c>
      <c r="E285" s="171">
        <f t="shared" si="10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3500281.4918378997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3150253.3426541099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102"/>
        <v>350028.14918378973</v>
      </c>
      <c r="P285" s="94">
        <f t="shared" si="98"/>
        <v>350028.14918378973</v>
      </c>
      <c r="Q285" s="180">
        <f t="shared" si="103"/>
        <v>3150253.3426541099</v>
      </c>
      <c r="R285">
        <f>IFERROR(VLOOKUP(A285,[1]Energiindhold!$A$2:$C$11,3,FALSE),IFERROR(VLOOKUP(A285,[1]Biogasudbytte!$A$2:$B$18,2,FALSE)*[1]Energiindhold!$C$10,0))*P285</f>
        <v>0.17466754672420293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1.7466754672420306</v>
      </c>
      <c r="T285">
        <f>IFERROR(VLOOKUP(A285,[1]Biogasudbytte!$A$2:$B$18,2,FALSE)*[1]Energiindhold!$C$10,0)*K285*IFERROR(VLOOKUP(A285,Biogasanlæg!$F$3:$G$8,2,FALSE),1)</f>
        <v>1.5720079205178277</v>
      </c>
      <c r="U285" s="170">
        <f t="shared" si="104"/>
        <v>0.17466754672420293</v>
      </c>
      <c r="V285" s="169">
        <f>P285*IFERROR(VLOOKUP(A285,[1]Tørstofindhold!A$2:B$24,2,FALSE),0)</f>
        <v>21001.688951027383</v>
      </c>
      <c r="W285">
        <f>IF(E285=År1,Q285,SUM(P285,Q285))*IFERROR(VLOOKUP(A285,[1]Tørstofindhold!A$2:B$24,2,FALSE),0)</f>
        <v>210016.88951027396</v>
      </c>
      <c r="X285">
        <f>K285*IFERROR(VLOOKUP(A285,[1]Tørstofindhold!A$2:B$24,2,FALSE),0)</f>
        <v>189015.20055924659</v>
      </c>
      <c r="Y285" s="170">
        <f t="shared" si="105"/>
        <v>21001.688951027376</v>
      </c>
      <c r="Z285">
        <f t="shared" si="99"/>
        <v>0</v>
      </c>
      <c r="AA285">
        <f t="shared" si="100"/>
        <v>1</v>
      </c>
      <c r="AB285" s="94">
        <f t="shared" si="86"/>
        <v>350028.14918378973</v>
      </c>
      <c r="AC285">
        <f>AB285*D285*10000*VLOOKUP(A285,[1]kcal!$A$2:$C$49,3,FALSE)/1000000000000</f>
        <v>0</v>
      </c>
    </row>
    <row r="286" spans="1:29" x14ac:dyDescent="0.25">
      <c r="A286" s="171" t="str">
        <f t="shared" si="96"/>
        <v>Svinegylle</v>
      </c>
      <c r="B286" s="171" t="str">
        <f t="shared" si="9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82"/>
        <v>0</v>
      </c>
      <c r="E286" s="171">
        <f t="shared" si="10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1882077.697473543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1693869.9277261887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188207.76974735426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102"/>
        <v>0</v>
      </c>
      <c r="P286" s="94">
        <f t="shared" si="98"/>
        <v>0</v>
      </c>
      <c r="Q286" s="180">
        <f t="shared" si="103"/>
        <v>1693869.9277261887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0.72971916486444222</v>
      </c>
      <c r="T286">
        <f>IFERROR(VLOOKUP(A286,[1]Biogasudbytte!$A$2:$B$18,2,FALSE)*[1]Energiindhold!$C$10,0)*K286*IFERROR(VLOOKUP(A286,Biogasanlæg!$F$3:$G$8,2,FALSE),1)</f>
        <v>0.72971916486444222</v>
      </c>
      <c r="U286" s="170">
        <f t="shared" si="10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84693.496386309445</v>
      </c>
      <c r="X286">
        <f>K286*IFERROR(VLOOKUP(A286,[1]Tørstofindhold!A$2:B$24,2,FALSE),0)</f>
        <v>84693.496386309445</v>
      </c>
      <c r="Y286" s="170">
        <f t="shared" si="105"/>
        <v>0</v>
      </c>
      <c r="Z286">
        <f t="shared" si="99"/>
        <v>0</v>
      </c>
      <c r="AA286">
        <f t="shared" si="100"/>
        <v>0</v>
      </c>
      <c r="AB286" s="94">
        <f t="shared" si="86"/>
        <v>0</v>
      </c>
      <c r="AC286">
        <f>AB286*D286*10000*VLOOKUP(A286,[1]kcal!$A$2:$C$49,3,FALSE)/1000000000000</f>
        <v>0</v>
      </c>
    </row>
    <row r="287" spans="1:29" x14ac:dyDescent="0.25">
      <c r="A287" s="171" t="str">
        <f t="shared" si="96"/>
        <v>Svinekød</v>
      </c>
      <c r="B287" s="171" t="str">
        <f t="shared" si="9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82"/>
        <v>1</v>
      </c>
      <c r="E287" s="171">
        <f t="shared" si="10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174765.59603194657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102"/>
        <v>64291.298475081843</v>
      </c>
      <c r="P287" s="94">
        <f t="shared" si="98"/>
        <v>0</v>
      </c>
      <c r="Q287" s="180">
        <f t="shared" si="10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10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105"/>
        <v>0</v>
      </c>
      <c r="Z287">
        <f t="shared" si="99"/>
        <v>0</v>
      </c>
      <c r="AA287">
        <f t="shared" si="100"/>
        <v>1</v>
      </c>
      <c r="AB287" s="94">
        <f t="shared" si="86"/>
        <v>174765.59603194657</v>
      </c>
      <c r="AC287">
        <f>AB287*D287*10000*VLOOKUP(A287,[1]kcal!$A$2:$C$49,3,FALSE)/1000000000000</f>
        <v>0.3407929122622958</v>
      </c>
    </row>
    <row r="288" spans="1:29" x14ac:dyDescent="0.25">
      <c r="A288" s="171" t="str">
        <f t="shared" si="96"/>
        <v>Tang</v>
      </c>
      <c r="B288" s="171" t="str">
        <f t="shared" si="9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82"/>
        <v>1</v>
      </c>
      <c r="E288" s="171">
        <f t="shared" si="10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102"/>
        <v>0</v>
      </c>
      <c r="P288" s="94">
        <f t="shared" si="98"/>
        <v>0</v>
      </c>
      <c r="Q288" s="180">
        <f t="shared" si="10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104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105"/>
        <v>0</v>
      </c>
      <c r="Z288">
        <f t="shared" si="99"/>
        <v>0</v>
      </c>
      <c r="AA288">
        <f t="shared" si="100"/>
        <v>1</v>
      </c>
      <c r="AB288" s="94">
        <f t="shared" si="86"/>
        <v>0</v>
      </c>
      <c r="AC288">
        <f>AB288*D288*10000*VLOOKUP(A288,[1]kcal!$A$2:$C$49,3,FALSE)/1000000000000</f>
        <v>0</v>
      </c>
    </row>
    <row r="289" spans="1:29" x14ac:dyDescent="0.25">
      <c r="A289" s="171" t="str">
        <f t="shared" si="96"/>
        <v>Total til biogas</v>
      </c>
      <c r="B289" s="171" t="str">
        <f t="shared" si="9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82"/>
        <v>0</v>
      </c>
      <c r="E289" s="171">
        <f t="shared" si="10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102"/>
        <v>0</v>
      </c>
      <c r="P289" s="94">
        <f t="shared" si="98"/>
        <v>0</v>
      </c>
      <c r="Q289" s="180">
        <f t="shared" si="10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10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105"/>
        <v>0</v>
      </c>
      <c r="Z289">
        <f t="shared" si="99"/>
        <v>0</v>
      </c>
      <c r="AA289">
        <f t="shared" si="100"/>
        <v>0</v>
      </c>
      <c r="AB289" s="94">
        <f t="shared" si="86"/>
        <v>0</v>
      </c>
      <c r="AC289">
        <f>AB289*D289*10000*VLOOKUP(A289,[1]kcal!$A$2:$C$49,3,FALSE)/1000000000000</f>
        <v>0</v>
      </c>
    </row>
    <row r="290" spans="1:29" x14ac:dyDescent="0.25">
      <c r="A290" s="171" t="str">
        <f t="shared" si="96"/>
        <v>Træ til energi</v>
      </c>
      <c r="B290" s="171" t="str">
        <f t="shared" si="9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82"/>
        <v>0</v>
      </c>
      <c r="E290" s="171">
        <f t="shared" si="10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637918.49942824384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637918.49942824384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102"/>
        <v>0</v>
      </c>
      <c r="P290" s="94">
        <f t="shared" ca="1" si="98"/>
        <v>0</v>
      </c>
      <c r="Q290" s="180">
        <f t="shared" ca="1" si="103"/>
        <v>637918.49942824384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9.2457157245424533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104"/>
        <v>9.2457157245424533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315503.85784221895</v>
      </c>
      <c r="X290">
        <f>K290*IFERROR(VLOOKUP(A290,[1]Tørstofindhold!A$2:B$24,2,FALSE),0)</f>
        <v>0</v>
      </c>
      <c r="Y290" s="170">
        <f t="shared" ca="1" si="105"/>
        <v>315503.85784221895</v>
      </c>
      <c r="Z290">
        <f t="shared" ca="1" si="99"/>
        <v>0</v>
      </c>
      <c r="AA290">
        <f t="shared" ca="1" si="100"/>
        <v>0</v>
      </c>
      <c r="AB290" s="94">
        <f t="shared" ca="1" si="86"/>
        <v>637918.49942824384</v>
      </c>
      <c r="AC290">
        <f ca="1">AB290*D290*10000*VLOOKUP(A290,[1]kcal!$A$2:$C$49,3,FALSE)/1000000000000</f>
        <v>0</v>
      </c>
    </row>
    <row r="291" spans="1:29" ht="15.75" thickBot="1" x14ac:dyDescent="0.3">
      <c r="A291" s="171" t="str">
        <f t="shared" si="96"/>
        <v>Træmaterialer</v>
      </c>
      <c r="B291" s="171" t="str">
        <f t="shared" si="9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82"/>
        <v>0</v>
      </c>
      <c r="E291" s="171">
        <f t="shared" si="10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181156.38422629872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181156.38422629872</v>
      </c>
      <c r="O291" s="181">
        <f t="shared" ca="1" si="102"/>
        <v>0</v>
      </c>
      <c r="P291" s="182">
        <f t="shared" si="98"/>
        <v>0</v>
      </c>
      <c r="Q291" s="183">
        <f t="shared" si="10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10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105"/>
        <v>0</v>
      </c>
      <c r="Z291">
        <f t="shared" ca="1" si="99"/>
        <v>0</v>
      </c>
      <c r="AA291">
        <f t="shared" ca="1" si="100"/>
        <v>0</v>
      </c>
      <c r="AB291" s="94">
        <f t="shared" ca="1" si="86"/>
        <v>181156.38422629872</v>
      </c>
      <c r="AC291">
        <f ca="1">AB291*D291*10000*VLOOKUP(A291,[1]kcal!$A$2:$C$49,3,FALSE)/1000000000000</f>
        <v>0</v>
      </c>
    </row>
  </sheetData>
  <mergeCells count="6">
    <mergeCell ref="AB1:AC1"/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Y118" activePane="bottomRight" state="frozen"/>
      <selection pane="topRight" activeCell="F1" sqref="F1"/>
      <selection pane="bottomLeft" activeCell="A3" sqref="A3"/>
      <selection pane="bottomRight" activeCell="H138" sqref="H138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3" customWidth="1"/>
  </cols>
  <sheetData>
    <row r="1" spans="1:32" ht="15.75" thickTop="1" x14ac:dyDescent="0.25">
      <c r="A1" s="426" t="s">
        <v>248</v>
      </c>
      <c r="B1" s="426"/>
      <c r="C1" s="426"/>
      <c r="D1" s="426"/>
      <c r="E1" s="395"/>
      <c r="G1" s="427" t="s">
        <v>250</v>
      </c>
      <c r="H1" s="427"/>
      <c r="I1" s="427"/>
      <c r="J1" s="427"/>
      <c r="K1" s="427"/>
      <c r="L1" s="427"/>
      <c r="M1" s="427"/>
      <c r="N1" s="428"/>
      <c r="O1" s="429" t="s">
        <v>251</v>
      </c>
      <c r="P1" s="430"/>
      <c r="Q1" s="431"/>
      <c r="R1" s="423" t="s">
        <v>122</v>
      </c>
      <c r="S1" s="423"/>
      <c r="T1" s="423"/>
      <c r="U1" s="424"/>
      <c r="V1" s="425" t="s">
        <v>229</v>
      </c>
      <c r="W1" s="423"/>
      <c r="X1" s="423"/>
      <c r="Y1" s="424"/>
      <c r="AC1" s="422" t="s">
        <v>337</v>
      </c>
      <c r="AD1" s="422"/>
      <c r="AE1">
        <f>År1</f>
        <v>2019</v>
      </c>
      <c r="AF1">
        <f ca="1">SUMIF($F$4:$F$147,$AE1,AD$4:AD$147)</f>
        <v>19.960490719951657</v>
      </c>
    </row>
    <row r="2" spans="1:32" x14ac:dyDescent="0.25">
      <c r="A2" s="395"/>
      <c r="B2" s="395"/>
      <c r="C2" s="395"/>
      <c r="D2" s="395"/>
      <c r="E2" s="395"/>
      <c r="G2" s="396"/>
      <c r="H2" s="396">
        <v>1</v>
      </c>
      <c r="I2" s="396">
        <v>1</v>
      </c>
      <c r="J2" s="396">
        <v>0</v>
      </c>
      <c r="K2" s="396">
        <v>1</v>
      </c>
      <c r="L2" s="396">
        <v>1</v>
      </c>
      <c r="M2" s="396">
        <v>0</v>
      </c>
      <c r="N2" s="396">
        <v>0</v>
      </c>
      <c r="O2" s="397"/>
      <c r="P2" s="398"/>
      <c r="Q2" s="399"/>
      <c r="R2" s="398"/>
      <c r="S2" s="398"/>
      <c r="T2" s="398"/>
      <c r="U2" s="400"/>
      <c r="V2" s="401"/>
      <c r="W2" s="398"/>
      <c r="X2" s="398"/>
      <c r="Y2" s="400"/>
      <c r="AE2">
        <f>År2</f>
        <v>2030</v>
      </c>
      <c r="AF2">
        <f ca="1">SUMIF($F$4:$F$147,$AE2,AD$4:AD$147)</f>
        <v>22.315428687819246</v>
      </c>
    </row>
    <row r="3" spans="1:32" x14ac:dyDescent="0.25">
      <c r="A3" s="91" t="s">
        <v>128</v>
      </c>
      <c r="B3" s="91" t="s">
        <v>311</v>
      </c>
      <c r="C3" s="91" t="s">
        <v>342</v>
      </c>
      <c r="D3" s="91" t="s">
        <v>129</v>
      </c>
      <c r="E3" s="91" t="s">
        <v>339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402" t="str">
        <f>""</f>
        <v/>
      </c>
      <c r="AC3" s="91" t="s">
        <v>338</v>
      </c>
      <c r="AD3" s="91" t="s">
        <v>340</v>
      </c>
      <c r="AE3">
        <f>År3</f>
        <v>2050</v>
      </c>
      <c r="AF3">
        <f ca="1">SUMIF($F$4:$F$147,$AE3,AD$4:AD$147)</f>
        <v>21.592419108386821</v>
      </c>
    </row>
    <row r="4" spans="1:32" x14ac:dyDescent="0.25">
      <c r="A4" s="171" t="s">
        <v>15</v>
      </c>
      <c r="B4" s="171"/>
      <c r="C4" s="171" t="str">
        <f>IFERROR(VLOOKUP(A4,'Kategorisering af kcal'!$J$2:$K$18,2,FALSE),"")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 t="shared" ref="F4:F51" si="0"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176596.89940199588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1">IF(SUMIFS($O$4:$O$147,$A$4:$A$147,A4,$F$4:$F$147,F4)&lt;0,1,0)</f>
        <v>0</v>
      </c>
      <c r="AA4">
        <f t="shared" ref="AA4:AA35" si="2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</f>
        <v>0.32429999999999998</v>
      </c>
    </row>
    <row r="5" spans="1:32" x14ac:dyDescent="0.25">
      <c r="A5" s="171" t="s">
        <v>49</v>
      </c>
      <c r="B5" s="171"/>
      <c r="C5" s="171" t="str">
        <f>IFERROR(VLOOKUP(A5,'Kategorisering af kcal'!$J$2:$K$18,2,FALSE),"")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si="0"/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1"/>
        <v>0</v>
      </c>
      <c r="AA5">
        <f t="shared" si="2"/>
        <v>1</v>
      </c>
      <c r="AC5" s="94">
        <f t="shared" ref="AC5:AC68" si="8">G5-SUMPRODUCT($H$2:$N$2,H5:N5)</f>
        <v>212954.76453418657</v>
      </c>
      <c r="AD5">
        <f>AC5*E5*10000*VLOOKUP(A5,[1]kcal!$A$2:$C$49,3,FALSE)/1000000000000</f>
        <v>1.4789708396899257</v>
      </c>
    </row>
    <row r="6" spans="1:32" x14ac:dyDescent="0.25">
      <c r="A6" s="171" t="s">
        <v>102</v>
      </c>
      <c r="B6" s="171" t="s">
        <v>230</v>
      </c>
      <c r="C6" s="171" t="str">
        <f>IFERROR(VLOOKUP(A6,'Kategorisering af kcal'!$J$2:$K$18,2,FALSE),"")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0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1"/>
        <v>1</v>
      </c>
      <c r="AA6">
        <f t="shared" ca="1" si="2"/>
        <v>0</v>
      </c>
      <c r="AC6" s="94">
        <f t="shared" ca="1" si="8"/>
        <v>-370459.67448149773</v>
      </c>
      <c r="AD6">
        <f ca="1">AC6*E6*10000*VLOOKUP(A6,[1]kcal!$A$2:$C$49,3,FALSE)/1000000000000</f>
        <v>0</v>
      </c>
    </row>
    <row r="7" spans="1:32" x14ac:dyDescent="0.25">
      <c r="A7" s="171" t="s">
        <v>109</v>
      </c>
      <c r="B7" s="171"/>
      <c r="C7" s="171" t="str">
        <f>IFERROR(VLOOKUP(A7,'Kategorisering af kcal'!$J$2:$K$18,2,FALSE),"")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0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  <c r="AC7" s="94">
        <f t="shared" ca="1" si="8"/>
        <v>462837288.84999996</v>
      </c>
      <c r="AD7">
        <f ca="1">AC7*E7*10000*VLOOKUP(A7,[1]kcal!$A$2:$C$49,3,FALSE)/1000000000000</f>
        <v>0</v>
      </c>
    </row>
    <row r="8" spans="1:32" x14ac:dyDescent="0.25">
      <c r="A8" s="171" t="s">
        <v>110</v>
      </c>
      <c r="B8" s="171"/>
      <c r="C8" s="171" t="str">
        <f>IFERROR(VLOOKUP(A8,'Kategorisering af kcal'!$J$2:$K$18,2,FALSE),"")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0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  <c r="AC8" s="94">
        <f ca="1">G8-SUMPRODUCT($H$2:$N$2,H8:N8)</f>
        <v>3230529.0722415131</v>
      </c>
      <c r="AD8">
        <f ca="1">AC8*E8*10000*VLOOKUP(A8,[1]kcal!$A$2:$C$49,3,FALSE)/1000000000000</f>
        <v>0</v>
      </c>
    </row>
    <row r="9" spans="1:32" x14ac:dyDescent="0.25">
      <c r="A9" s="171" t="s">
        <v>208</v>
      </c>
      <c r="B9" s="171" t="s">
        <v>230</v>
      </c>
      <c r="C9" s="171" t="str">
        <f>IFERROR(VLOOKUP(A9,'Kategorisering af kcal'!$J$2:$K$18,2,FALSE),"")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0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  <c r="AC9" s="94">
        <f t="shared" si="8"/>
        <v>0</v>
      </c>
      <c r="AD9">
        <f>AC9*E9*10000*VLOOKUP(A9,[1]kcal!$A$2:$C$49,3,FALSE)/1000000000000</f>
        <v>0</v>
      </c>
    </row>
    <row r="10" spans="1:32" x14ac:dyDescent="0.25">
      <c r="A10" t="s">
        <v>101</v>
      </c>
      <c r="B10" s="171" t="s">
        <v>222</v>
      </c>
      <c r="C10" s="171" t="str">
        <f>IFERROR(VLOOKUP(A10,'Kategorisering af kcal'!$J$2:$K$18,2,FALSE),"")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0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1"/>
        <v>0</v>
      </c>
      <c r="AA10">
        <f t="shared" si="2"/>
        <v>1</v>
      </c>
      <c r="AC10" s="94">
        <f t="shared" si="8"/>
        <v>1352218.0071428572</v>
      </c>
      <c r="AD10">
        <f>AC10*E10*10000*VLOOKUP(A10,[1]kcal!$A$2:$C$49,3,FALSE)/1000000000000</f>
        <v>0</v>
      </c>
    </row>
    <row r="11" spans="1:32" x14ac:dyDescent="0.25">
      <c r="A11" t="s">
        <v>204</v>
      </c>
      <c r="B11" s="171"/>
      <c r="C11" s="171" t="str">
        <f>IFERROR(VLOOKUP(A11,'Kategorisering af kcal'!$J$2:$K$18,2,FALSE),"")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0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  <c r="AC11" s="94">
        <f t="shared" si="8"/>
        <v>0</v>
      </c>
      <c r="AD11">
        <f>AC11*E11*10000*VLOOKUP(A11,[1]kcal!$A$2:$C$49,3,FALSE)/1000000000000</f>
        <v>0</v>
      </c>
    </row>
    <row r="12" spans="1:32" x14ac:dyDescent="0.25">
      <c r="A12" t="s">
        <v>137</v>
      </c>
      <c r="B12" s="171" t="s">
        <v>222</v>
      </c>
      <c r="C12" s="171" t="str">
        <f>IFERROR(VLOOKUP(A12,'Kategorisering af kcal'!$J$2:$K$18,2,FALSE),"")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0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1"/>
        <v>0</v>
      </c>
      <c r="AA12">
        <f t="shared" si="2"/>
        <v>0</v>
      </c>
      <c r="AC12" s="94">
        <f t="shared" si="8"/>
        <v>0</v>
      </c>
      <c r="AD12">
        <f>AC12*E12*10000*VLOOKUP(A12,[1]kcal!$A$2:$C$49,3,FALSE)/1000000000000</f>
        <v>0</v>
      </c>
    </row>
    <row r="13" spans="1:32" x14ac:dyDescent="0.25">
      <c r="A13" t="s">
        <v>96</v>
      </c>
      <c r="B13" s="171"/>
      <c r="C13" s="171" t="str">
        <f>IFERROR(VLOOKUP(A13,'Kategorisering af kcal'!$J$2:$K$18,2,FALSE),"")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0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138275.28002889911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  <c r="AC13" s="94">
        <f t="shared" si="8"/>
        <v>201545.30567673693</v>
      </c>
      <c r="AD13">
        <f>AC13*E13*10000*VLOOKUP(A13,[1]kcal!$A$2:$C$49,3,FALSE)/1000000000000</f>
        <v>0.30634886462864014</v>
      </c>
    </row>
    <row r="14" spans="1:32" x14ac:dyDescent="0.25">
      <c r="A14" t="s">
        <v>113</v>
      </c>
      <c r="B14" s="171"/>
      <c r="C14" s="171" t="str">
        <f>IFERROR(VLOOKUP(A14,'Kategorisering af kcal'!$J$2:$K$18,2,FALSE),"")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0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  <c r="AC14" s="94">
        <f t="shared" si="8"/>
        <v>1508282.669250763</v>
      </c>
      <c r="AD14">
        <f>AC14*E14*10000*VLOOKUP(A14,[1]kcal!$A$2:$C$49,3,FALSE)/1000000000000</f>
        <v>0</v>
      </c>
    </row>
    <row r="15" spans="1:32" x14ac:dyDescent="0.25">
      <c r="A15" t="s">
        <v>54</v>
      </c>
      <c r="B15" s="171"/>
      <c r="C15" s="171" t="str">
        <f>IFERROR(VLOOKUP(A15,'Kategorisering af kcal'!$J$2:$K$18,2,FALSE),"")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0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  <c r="AC15" s="94">
        <f t="shared" si="8"/>
        <v>41728.949017214291</v>
      </c>
      <c r="AD15">
        <f>AC15*E15*10000*VLOOKUP(A15,[1]kcal!$A$2:$C$49,3,FALSE)/1000000000000</f>
        <v>2.1699053488951431E-2</v>
      </c>
    </row>
    <row r="16" spans="1:32" x14ac:dyDescent="0.25">
      <c r="A16" s="171" t="s">
        <v>158</v>
      </c>
      <c r="B16" s="171" t="s">
        <v>158</v>
      </c>
      <c r="C16" s="171" t="str">
        <f>IFERROR(VLOOKUP(A16,'Kategorisering af kcal'!$J$2:$K$18,2,FALSE),"")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0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1"/>
        <v>1</v>
      </c>
      <c r="AA16">
        <f t="shared" si="2"/>
        <v>0</v>
      </c>
      <c r="AC16" s="94">
        <f t="shared" si="8"/>
        <v>-142742</v>
      </c>
      <c r="AD16">
        <f>AC16*E16*10000*VLOOKUP(A16,[1]kcal!$A$2:$C$49,3,FALSE)/1000000000000</f>
        <v>0</v>
      </c>
    </row>
    <row r="17" spans="1:30" x14ac:dyDescent="0.25">
      <c r="A17" s="171" t="s">
        <v>51</v>
      </c>
      <c r="B17" s="171" t="s">
        <v>224</v>
      </c>
      <c r="C17" s="171" t="str">
        <f>IFERROR(VLOOKUP(A17,'Kategorisering af kcal'!$J$2:$K$18,2,FALSE),"")</f>
        <v/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0</v>
      </c>
      <c r="F17" s="171">
        <f t="shared" si="0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1"/>
        <v>0</v>
      </c>
      <c r="AA17">
        <f t="shared" si="2"/>
        <v>1</v>
      </c>
      <c r="AC17" s="94">
        <f t="shared" si="8"/>
        <v>4087571.5535632987</v>
      </c>
      <c r="AD17">
        <f>AC17*E17*10000*VLOOKUP(A17,[1]kcal!$A$2:$C$49,3,FALSE)/1000000000000</f>
        <v>0</v>
      </c>
    </row>
    <row r="18" spans="1:30" x14ac:dyDescent="0.25">
      <c r="A18" s="171" t="s">
        <v>203</v>
      </c>
      <c r="B18" s="171"/>
      <c r="C18" s="171" t="str">
        <f>IFERROR(VLOOKUP(A18,'Kategorisering af kcal'!$J$2:$K$18,2,FALSE),"")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0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1"/>
        <v>0</v>
      </c>
      <c r="AA18">
        <f t="shared" si="2"/>
        <v>0</v>
      </c>
      <c r="AC18" s="94">
        <f t="shared" si="8"/>
        <v>0</v>
      </c>
      <c r="AD18">
        <f>AC18*E18*10000*VLOOKUP(A18,[1]kcal!$A$2:$C$49,3,FALSE)/1000000000000</f>
        <v>0</v>
      </c>
    </row>
    <row r="19" spans="1:30" x14ac:dyDescent="0.25">
      <c r="A19" s="171" t="s">
        <v>6</v>
      </c>
      <c r="B19" s="171"/>
      <c r="C19" s="171" t="str">
        <f>IFERROR(VLOOKUP(A19,'Kategorisering af kcal'!$J$2:$K$18,2,FALSE),"")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0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1"/>
        <v>1</v>
      </c>
      <c r="AA19">
        <f t="shared" si="2"/>
        <v>0</v>
      </c>
      <c r="AC19" s="94">
        <f t="shared" si="8"/>
        <v>280322.43675931642</v>
      </c>
      <c r="AD19">
        <f>AC19*E19*10000*VLOOKUP(A19,[1]kcal!$A$2:$C$49,3,FALSE)/1000000000000</f>
        <v>0.10932575033613341</v>
      </c>
    </row>
    <row r="20" spans="1:30" x14ac:dyDescent="0.25">
      <c r="A20" s="171" t="s">
        <v>67</v>
      </c>
      <c r="B20" s="171" t="s">
        <v>227</v>
      </c>
      <c r="C20" s="171" t="str">
        <f>IFERROR(VLOOKUP(A20,'Kategorisering af kcal'!$J$2:$K$18,2,FALSE),"")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0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1"/>
        <v>0</v>
      </c>
      <c r="AA20">
        <f t="shared" si="2"/>
        <v>0</v>
      </c>
      <c r="AC20" s="94">
        <f t="shared" si="8"/>
        <v>1895494.5192748315</v>
      </c>
      <c r="AD20">
        <f>AC20*E20*10000*VLOOKUP(A20,[1]kcal!$A$2:$C$49,3,FALSE)/1000000000000</f>
        <v>0</v>
      </c>
    </row>
    <row r="21" spans="1:30" x14ac:dyDescent="0.25">
      <c r="A21" s="171" t="s">
        <v>162</v>
      </c>
      <c r="B21" s="171" t="s">
        <v>230</v>
      </c>
      <c r="C21" s="171" t="str">
        <f>IFERROR(VLOOKUP(A21,'Kategorisering af kcal'!$J$2:$K$18,2,FALSE),"")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0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1"/>
        <v>0</v>
      </c>
      <c r="AA21">
        <f t="shared" si="2"/>
        <v>0</v>
      </c>
      <c r="AC21" s="94">
        <f t="shared" si="8"/>
        <v>982731</v>
      </c>
      <c r="AD21">
        <f>AC21*E21*10000*VLOOKUP(A21,[1]kcal!$A$2:$C$49,3,FALSE)/1000000000000</f>
        <v>0</v>
      </c>
    </row>
    <row r="22" spans="1:30" x14ac:dyDescent="0.25">
      <c r="A22" t="s">
        <v>159</v>
      </c>
      <c r="B22" s="171"/>
      <c r="C22" s="171" t="str">
        <f>IFERROR(VLOOKUP(A22,'Kategorisering af kcal'!$J$2:$K$18,2,FALSE),"")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0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1"/>
        <v>1</v>
      </c>
      <c r="AA22">
        <f t="shared" si="2"/>
        <v>0</v>
      </c>
      <c r="AC22" s="94">
        <f t="shared" si="8"/>
        <v>-5421074.2654714445</v>
      </c>
      <c r="AD22">
        <f>AC22*E22*10000*VLOOKUP(A22,[1]kcal!$A$2:$C$49,3,FALSE)/1000000000000</f>
        <v>-3.0900123313187238</v>
      </c>
    </row>
    <row r="23" spans="1:30" x14ac:dyDescent="0.25">
      <c r="A23" s="171" t="s">
        <v>103</v>
      </c>
      <c r="B23" s="171" t="s">
        <v>230</v>
      </c>
      <c r="C23" s="171" t="str">
        <f>IFERROR(VLOOKUP(A23,'Kategorisering af kcal'!$J$2:$K$18,2,FALSE),"")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0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1"/>
        <v>1</v>
      </c>
      <c r="AA23">
        <f t="shared" si="2"/>
        <v>0</v>
      </c>
      <c r="AC23" s="94">
        <f t="shared" si="8"/>
        <v>-282332.03034110228</v>
      </c>
      <c r="AD23">
        <f>AC23*E23*10000*VLOOKUP(A23,[1]kcal!$A$2:$C$49,3,FALSE)/1000000000000</f>
        <v>0</v>
      </c>
    </row>
    <row r="24" spans="1:30" x14ac:dyDescent="0.25">
      <c r="A24" s="171" t="s">
        <v>56</v>
      </c>
      <c r="B24" s="171"/>
      <c r="C24" s="171" t="str">
        <f>IFERROR(VLOOKUP(A24,'Kategorisering af kcal'!$J$2:$K$18,2,FALSE),"")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0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1"/>
        <v>0</v>
      </c>
      <c r="AA24">
        <f t="shared" si="2"/>
        <v>1</v>
      </c>
      <c r="AC24" s="94">
        <f t="shared" si="8"/>
        <v>912099.45136908058</v>
      </c>
      <c r="AD24">
        <f>AC24*E24*10000*VLOOKUP(A24,[1]kcal!$A$2:$C$49,3,FALSE)/1000000000000</f>
        <v>0</v>
      </c>
    </row>
    <row r="25" spans="1:30" x14ac:dyDescent="0.25">
      <c r="A25" s="171" t="s">
        <v>12</v>
      </c>
      <c r="B25" s="171"/>
      <c r="C25" s="171" t="str">
        <f>IFERROR(VLOOKUP(A25,'Kategorisering af kcal'!$J$2:$K$18,2,FALSE),"")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0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2041731.0676095127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1"/>
        <v>0</v>
      </c>
      <c r="AA25">
        <f t="shared" si="2"/>
        <v>1</v>
      </c>
      <c r="AC25" s="94">
        <f t="shared" si="8"/>
        <v>2263176.157376945</v>
      </c>
      <c r="AD25">
        <f>AC25*E25*10000*VLOOKUP(A25,[1]kcal!$A$2:$C$49,3,FALSE)/1000000000000</f>
        <v>1.765277402754017</v>
      </c>
    </row>
    <row r="26" spans="1:30" x14ac:dyDescent="0.25">
      <c r="A26" s="171" t="s">
        <v>48</v>
      </c>
      <c r="B26" s="171" t="s">
        <v>227</v>
      </c>
      <c r="C26" s="171" t="str">
        <f>IFERROR(VLOOKUP(A26,'Kategorisering af kcal'!$J$2:$K$18,2,FALSE),"")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0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1976968.2090253718</v>
      </c>
      <c r="P26" s="94">
        <f t="shared" si="4"/>
        <v>1976968.2090253718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6.7708393403626363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612860.1447978653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1"/>
        <v>0</v>
      </c>
      <c r="AA26">
        <f t="shared" si="2"/>
        <v>1</v>
      </c>
      <c r="AC26" s="94">
        <f t="shared" si="8"/>
        <v>2507463.0394572429</v>
      </c>
      <c r="AD26">
        <f>AC26*E26*10000*VLOOKUP(A26,[1]kcal!$A$2:$C$49,3,FALSE)/1000000000000</f>
        <v>9.1773147244135096</v>
      </c>
    </row>
    <row r="27" spans="1:30" x14ac:dyDescent="0.25">
      <c r="A27" s="171" t="s">
        <v>115</v>
      </c>
      <c r="B27" s="171"/>
      <c r="C27" s="171" t="str">
        <f>IFERROR(VLOOKUP(A27,'Kategorisering af kcal'!$J$2:$K$18,2,FALSE),"")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0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1"/>
        <v>1</v>
      </c>
      <c r="AA27">
        <f t="shared" ca="1" si="2"/>
        <v>0</v>
      </c>
      <c r="AC27" s="94">
        <f t="shared" ca="1" si="8"/>
        <v>-944817.29105430027</v>
      </c>
      <c r="AD27">
        <f ca="1">AC27*E27*10000*VLOOKUP(A27,[1]kcal!$A$2:$C$49,3,FALSE)/1000000000000</f>
        <v>0</v>
      </c>
    </row>
    <row r="28" spans="1:30" x14ac:dyDescent="0.25">
      <c r="A28" s="171" t="s">
        <v>136</v>
      </c>
      <c r="B28" s="171" t="s">
        <v>222</v>
      </c>
      <c r="C28" s="171" t="str">
        <f>IFERROR(VLOOKUP(A28,'Kategorisering af kcal'!$J$2:$K$18,2,FALSE),"")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0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1"/>
        <v>0</v>
      </c>
      <c r="AA28">
        <f t="shared" si="2"/>
        <v>0</v>
      </c>
      <c r="AC28" s="94">
        <f t="shared" si="8"/>
        <v>0</v>
      </c>
      <c r="AD28">
        <f>AC28*E28*10000*VLOOKUP(A28,[1]kcal!$A$2:$C$49,3,FALSE)/1000000000000</f>
        <v>0</v>
      </c>
    </row>
    <row r="29" spans="1:30" x14ac:dyDescent="0.25">
      <c r="A29" s="171" t="s">
        <v>108</v>
      </c>
      <c r="B29" s="171"/>
      <c r="C29" s="171" t="str">
        <f>IFERROR(VLOOKUP(A29,'Kategorisering af kcal'!$J$2:$K$18,2,FALSE),"")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0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1"/>
        <v>0</v>
      </c>
      <c r="AA29">
        <f t="shared" si="2"/>
        <v>1</v>
      </c>
      <c r="AC29" s="94">
        <f t="shared" si="8"/>
        <v>51892.132620096207</v>
      </c>
      <c r="AD29">
        <f>AC29*E29*10000*VLOOKUP(A29,[1]kcal!$A$2:$C$49,3,FALSE)/1000000000000</f>
        <v>0</v>
      </c>
    </row>
    <row r="30" spans="1:30" x14ac:dyDescent="0.25">
      <c r="A30" t="s">
        <v>53</v>
      </c>
      <c r="B30" s="171" t="s">
        <v>224</v>
      </c>
      <c r="C30" s="171" t="str">
        <f>IFERROR(VLOOKUP(A30,'Kategorisering af kcal'!$J$2:$K$18,2,FALSE),"")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0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1"/>
        <v>0</v>
      </c>
      <c r="AA30">
        <f t="shared" si="2"/>
        <v>1</v>
      </c>
      <c r="AC30" s="94">
        <f t="shared" si="8"/>
        <v>1274488.0820395499</v>
      </c>
      <c r="AD30">
        <f>AC30*E30*10000*VLOOKUP(A30,[1]kcal!$A$2:$C$49,3,FALSE)/1000000000000</f>
        <v>1.1597841546559904</v>
      </c>
    </row>
    <row r="31" spans="1:30" x14ac:dyDescent="0.25">
      <c r="A31" s="171" t="s">
        <v>116</v>
      </c>
      <c r="B31" s="171"/>
      <c r="C31" s="171" t="str">
        <f>IFERROR(VLOOKUP(A31,'Kategorisering af kcal'!$J$2:$K$18,2,FALSE),"")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0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2536783.2413289403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1"/>
        <v>0</v>
      </c>
      <c r="AA31">
        <f t="shared" si="2"/>
        <v>1</v>
      </c>
      <c r="AC31" s="94">
        <f t="shared" si="8"/>
        <v>3383628.2</v>
      </c>
      <c r="AD31">
        <f>AC31*E31*10000*VLOOKUP(A31,[1]kcal!$A$2:$C$49,3,FALSE)/1000000000000</f>
        <v>2.1316857659999999</v>
      </c>
    </row>
    <row r="32" spans="1:30" x14ac:dyDescent="0.25">
      <c r="A32" s="171" t="s">
        <v>106</v>
      </c>
      <c r="B32" s="171" t="s">
        <v>226</v>
      </c>
      <c r="C32" s="171" t="str">
        <f>IFERROR(VLOOKUP(A32,'Kategorisering af kcal'!$J$2:$K$18,2,FALSE),"")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0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1"/>
        <v>0</v>
      </c>
      <c r="AA32">
        <f t="shared" si="2"/>
        <v>1</v>
      </c>
      <c r="AC32" s="94">
        <f t="shared" si="8"/>
        <v>880.09999999999991</v>
      </c>
      <c r="AD32">
        <f>AC32*E32*10000*VLOOKUP(A32,[1]kcal!$A$2:$C$49,3,FALSE)/1000000000000</f>
        <v>7.3048299999999998E-4</v>
      </c>
    </row>
    <row r="33" spans="1:34" x14ac:dyDescent="0.25">
      <c r="A33" s="171" t="s">
        <v>14</v>
      </c>
      <c r="B33" s="171"/>
      <c r="C33" s="171" t="str">
        <f>IFERROR(VLOOKUP(A33,'Kategorisering af kcal'!$J$2:$K$18,2,FALSE),"")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0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8064.2063400965562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1"/>
        <v>0</v>
      </c>
      <c r="AA33">
        <f t="shared" si="2"/>
        <v>1</v>
      </c>
      <c r="AC33" s="94">
        <f t="shared" si="8"/>
        <v>115671.91919191919</v>
      </c>
      <c r="AD33">
        <f>AC33*E33*10000*VLOOKUP(A33,[1]kcal!$A$2:$C$49,3,FALSE)/1000000000000</f>
        <v>0.22556024242424241</v>
      </c>
    </row>
    <row r="34" spans="1:34" x14ac:dyDescent="0.25">
      <c r="A34" s="171" t="s">
        <v>55</v>
      </c>
      <c r="B34" s="171"/>
      <c r="C34" s="171" t="str">
        <f>IFERROR(VLOOKUP(A34,'Kategorisering af kcal'!$J$2:$K$18,2,FALSE),"")</f>
        <v>Øvrige</v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0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1"/>
        <v>0</v>
      </c>
      <c r="AA34">
        <f t="shared" si="2"/>
        <v>1</v>
      </c>
      <c r="AC34" s="94">
        <f t="shared" si="8"/>
        <v>2006067.2488276002</v>
      </c>
      <c r="AD34">
        <f>AC34*E34*10000*VLOOKUP(A34,[1]kcal!$A$2:$C$49,3,FALSE)/1000000000000</f>
        <v>0.78236622704276404</v>
      </c>
    </row>
    <row r="35" spans="1:34" x14ac:dyDescent="0.25">
      <c r="A35" s="171" t="s">
        <v>95</v>
      </c>
      <c r="B35" s="171" t="s">
        <v>225</v>
      </c>
      <c r="C35" s="171" t="str">
        <f>IFERROR(VLOOKUP(A35,'Kategorisering af kcal'!$J$2:$K$18,2,FALSE),"")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0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1"/>
        <v>0</v>
      </c>
      <c r="AA35">
        <f t="shared" si="2"/>
        <v>0</v>
      </c>
      <c r="AC35" s="94">
        <f t="shared" si="8"/>
        <v>209867.13867694439</v>
      </c>
      <c r="AD35">
        <f>AC35*E35*10000*VLOOKUP(A35,[1]kcal!$A$2:$C$49,3,FALSE)/1000000000000</f>
        <v>0</v>
      </c>
    </row>
    <row r="36" spans="1:34" x14ac:dyDescent="0.25">
      <c r="A36" s="171" t="s">
        <v>306</v>
      </c>
      <c r="B36" s="171" t="s">
        <v>312</v>
      </c>
      <c r="C36" s="171" t="str">
        <f>IFERROR(VLOOKUP(A36,'Kategorisering af kcal'!$J$2:$K$18,2,FALSE),"")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0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9">IF(SUMIFS($O$4:$O$147,$A$4:$A$147,A36,$F$4:$F$147,F36)&lt;0,1,0)</f>
        <v>0</v>
      </c>
      <c r="AA36">
        <f t="shared" ref="AA36:AA67" si="10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</f>
        <v>0</v>
      </c>
    </row>
    <row r="37" spans="1:34" x14ac:dyDescent="0.25">
      <c r="A37" s="171" t="s">
        <v>307</v>
      </c>
      <c r="B37" s="171" t="s">
        <v>312</v>
      </c>
      <c r="C37" s="171" t="str">
        <f>IFERROR(VLOOKUP(A37,'Kategorisering af kcal'!$J$2:$K$18,2,FALSE),"")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0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9"/>
        <v>0</v>
      </c>
      <c r="AA37">
        <f t="shared" si="10"/>
        <v>0</v>
      </c>
      <c r="AC37" s="94">
        <f t="shared" si="8"/>
        <v>0</v>
      </c>
      <c r="AD37">
        <f>AC37*E37*10000*VLOOKUP(A37,[1]kcal!$A$2:$C$49,3,FALSE)/1000000000000</f>
        <v>0</v>
      </c>
    </row>
    <row r="38" spans="1:34" x14ac:dyDescent="0.25">
      <c r="A38" s="171" t="s">
        <v>117</v>
      </c>
      <c r="B38" s="171"/>
      <c r="C38" s="171" t="str">
        <f>IFERROR(VLOOKUP(A38,'Kategorisering af kcal'!$J$2:$K$18,2,FALSE),"")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0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9"/>
        <v>0</v>
      </c>
      <c r="AA38">
        <f t="shared" si="10"/>
        <v>1</v>
      </c>
      <c r="AC38" s="94">
        <f t="shared" si="8"/>
        <v>5269000</v>
      </c>
      <c r="AD38">
        <f>AC38*E38*10000*VLOOKUP(A38,[1]kcal!$A$2:$C$49,3,FALSE)/1000000000000</f>
        <v>0</v>
      </c>
    </row>
    <row r="39" spans="1:34" x14ac:dyDescent="0.25">
      <c r="A39" t="s">
        <v>50</v>
      </c>
      <c r="B39" s="171"/>
      <c r="C39" s="171" t="str">
        <f>IFERROR(VLOOKUP(A39,'Kategorisering af kcal'!$J$2:$K$18,2,FALSE),"")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0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9"/>
        <v>0</v>
      </c>
      <c r="AA39">
        <f t="shared" si="10"/>
        <v>0</v>
      </c>
      <c r="AC39" s="94">
        <f t="shared" si="8"/>
        <v>678325.22851124685</v>
      </c>
      <c r="AD39">
        <f>AC39*E39*10000*VLOOKUP(A39,[1]kcal!$A$2:$C$49,3,FALSE)/1000000000000</f>
        <v>0</v>
      </c>
    </row>
    <row r="40" spans="1:34" x14ac:dyDescent="0.25">
      <c r="A40" t="s">
        <v>238</v>
      </c>
      <c r="B40" s="171"/>
      <c r="C40" s="171" t="str">
        <f>IFERROR(VLOOKUP(A40,'Kategorisering af kcal'!$J$2:$K$18,2,FALSE),"")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0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9"/>
        <v>0</v>
      </c>
      <c r="AA40">
        <f t="shared" si="10"/>
        <v>1</v>
      </c>
      <c r="AC40" s="94">
        <f t="shared" si="8"/>
        <v>98784.738662362768</v>
      </c>
      <c r="AD40">
        <f>AC40*E40*10000*VLOOKUP(A40,[1]kcal!$A$2:$C$49,3,FALSE)/1000000000000</f>
        <v>0</v>
      </c>
    </row>
    <row r="41" spans="1:34" x14ac:dyDescent="0.25">
      <c r="A41" t="s">
        <v>231</v>
      </c>
      <c r="B41" s="171" t="s">
        <v>231</v>
      </c>
      <c r="C41" s="171" t="str">
        <f>IFERROR(VLOOKUP(A41,'Kategorisering af kcal'!$J$2:$K$18,2,FALSE),"")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0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9"/>
        <v>0</v>
      </c>
      <c r="AA41">
        <f t="shared" si="10"/>
        <v>0</v>
      </c>
      <c r="AC41" s="94">
        <f t="shared" si="8"/>
        <v>217064.073123599</v>
      </c>
      <c r="AD41">
        <f>AC41*E41*10000*VLOOKUP(A41,[1]kcal!$A$2:$C$49,3,FALSE)/1000000000000</f>
        <v>1.953576658112391</v>
      </c>
    </row>
    <row r="42" spans="1:34" x14ac:dyDescent="0.25">
      <c r="A42" t="s">
        <v>52</v>
      </c>
      <c r="B42" s="171" t="s">
        <v>224</v>
      </c>
      <c r="C42" s="171" t="str">
        <f>IFERROR(VLOOKUP(A42,'Kategorisering af kcal'!$J$2:$K$18,2,FALSE),"")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0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9"/>
        <v>0</v>
      </c>
      <c r="AA42">
        <f t="shared" si="10"/>
        <v>1</v>
      </c>
      <c r="AC42" s="94">
        <f t="shared" si="8"/>
        <v>1637775.5474174484</v>
      </c>
      <c r="AD42">
        <f>AC42*E42*10000*VLOOKUP(A42,[1]kcal!$A$2:$C$49,3,FALSE)/1000000000000</f>
        <v>0.49133266422523447</v>
      </c>
    </row>
    <row r="43" spans="1:34" x14ac:dyDescent="0.25">
      <c r="A43" t="s">
        <v>121</v>
      </c>
      <c r="B43" s="171"/>
      <c r="C43" s="171" t="str">
        <f>IFERROR(VLOOKUP(A43,'Kategorisering af kcal'!$J$2:$K$18,2,FALSE),"")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0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9"/>
        <v>0</v>
      </c>
      <c r="AA43">
        <f t="shared" si="10"/>
        <v>1</v>
      </c>
      <c r="AC43" s="94">
        <f t="shared" si="8"/>
        <v>217010.36743552322</v>
      </c>
      <c r="AD43">
        <f>AC43*E43*10000*VLOOKUP(A43,[1]kcal!$A$2:$C$49,3,FALSE)/1000000000000</f>
        <v>0</v>
      </c>
    </row>
    <row r="44" spans="1:34" x14ac:dyDescent="0.25">
      <c r="A44" t="s">
        <v>107</v>
      </c>
      <c r="B44" s="171"/>
      <c r="C44" s="171" t="str">
        <f>IFERROR(VLOOKUP(A44,'Kategorisering af kcal'!$J$2:$K$18,2,FALSE),"")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0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9"/>
        <v>0</v>
      </c>
      <c r="AA44">
        <f t="shared" si="10"/>
        <v>1</v>
      </c>
      <c r="AC44" s="94">
        <f t="shared" si="8"/>
        <v>105946.31157195524</v>
      </c>
      <c r="AD44">
        <f>AC44*E44*10000*VLOOKUP(A44,[1]kcal!$A$2:$C$49,3,FALSE)/1000000000000</f>
        <v>0</v>
      </c>
    </row>
    <row r="45" spans="1:34" x14ac:dyDescent="0.25">
      <c r="A45" s="171" t="s">
        <v>140</v>
      </c>
      <c r="B45" s="171" t="s">
        <v>230</v>
      </c>
      <c r="C45" s="171" t="str">
        <f>IFERROR(VLOOKUP(A45,'Kategorisering af kcal'!$J$2:$K$18,2,FALSE),"")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0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9"/>
        <v>0</v>
      </c>
      <c r="AA45">
        <f t="shared" si="10"/>
        <v>1</v>
      </c>
      <c r="AC45" s="94">
        <f t="shared" si="8"/>
        <v>4368323.901678659</v>
      </c>
      <c r="AD45">
        <f>AC45*E45*10000*VLOOKUP(A45,[1]kcal!$A$2:$C$49,3,FALSE)/1000000000000</f>
        <v>0</v>
      </c>
    </row>
    <row r="46" spans="1:34" x14ac:dyDescent="0.25">
      <c r="A46" s="171" t="s">
        <v>135</v>
      </c>
      <c r="B46" s="171" t="s">
        <v>222</v>
      </c>
      <c r="C46" s="171" t="str">
        <f>IFERROR(VLOOKUP(A46,'Kategorisering af kcal'!$J$2:$K$18,2,FALSE),"")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0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9"/>
        <v>0</v>
      </c>
      <c r="AA46">
        <f t="shared" si="10"/>
        <v>0</v>
      </c>
      <c r="AC46" s="94">
        <f t="shared" si="8"/>
        <v>0</v>
      </c>
      <c r="AD46">
        <f>AC46*E46*10000*VLOOKUP(A46,[1]kcal!$A$2:$C$49,3,FALSE)/1000000000000</f>
        <v>0</v>
      </c>
    </row>
    <row r="47" spans="1:34" x14ac:dyDescent="0.25">
      <c r="A47" s="171" t="s">
        <v>13</v>
      </c>
      <c r="B47" s="171"/>
      <c r="C47" s="171" t="str">
        <f>IFERROR(VLOOKUP(A47,'Kategorisering af kcal'!$J$2:$K$18,2,FALSE),"")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0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9"/>
        <v>0</v>
      </c>
      <c r="AA47">
        <f t="shared" si="10"/>
        <v>1</v>
      </c>
      <c r="AC47" s="94">
        <f t="shared" si="8"/>
        <v>1601127.6966659406</v>
      </c>
      <c r="AD47">
        <f>AC47*E47*10000*VLOOKUP(A47,[1]kcal!$A$2:$C$49,3,FALSE)/1000000000000</f>
        <v>3.1221990084985847</v>
      </c>
      <c r="AG47" s="94"/>
      <c r="AH47" s="403"/>
    </row>
    <row r="48" spans="1:34" x14ac:dyDescent="0.25">
      <c r="A48" s="171" t="s">
        <v>99</v>
      </c>
      <c r="B48" s="171" t="s">
        <v>226</v>
      </c>
      <c r="C48" s="171" t="str">
        <f>IFERROR(VLOOKUP(A48,'Kategorisering af kcal'!$J$2:$K$18,2,FALSE),"")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0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9"/>
        <v>0</v>
      </c>
      <c r="AA48">
        <f t="shared" si="10"/>
        <v>1</v>
      </c>
      <c r="AC48" s="94">
        <f t="shared" si="8"/>
        <v>76.5</v>
      </c>
      <c r="AD48">
        <f>AC48*E48*10000*VLOOKUP(A48,[1]kcal!$A$2:$C$49,3,FALSE)/1000000000000</f>
        <v>3.1211999999999999E-5</v>
      </c>
    </row>
    <row r="49" spans="1:30" x14ac:dyDescent="0.25">
      <c r="A49" s="171" t="s">
        <v>104</v>
      </c>
      <c r="B49" s="171"/>
      <c r="C49" s="171" t="str">
        <f>IFERROR(VLOOKUP(A49,'Kategorisering af kcal'!$J$2:$K$18,2,FALSE),"")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0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9"/>
        <v>0</v>
      </c>
      <c r="AA49">
        <f t="shared" si="10"/>
        <v>0</v>
      </c>
      <c r="AC49" s="94">
        <f t="shared" si="8"/>
        <v>0</v>
      </c>
      <c r="AD49">
        <f>AC49*E49*10000*VLOOKUP(A49,[1]kcal!$A$2:$C$49,3,FALSE)/1000000000000</f>
        <v>0</v>
      </c>
    </row>
    <row r="50" spans="1:30" x14ac:dyDescent="0.25">
      <c r="A50" s="171" t="s">
        <v>119</v>
      </c>
      <c r="B50" s="171" t="s">
        <v>225</v>
      </c>
      <c r="C50" s="171" t="str">
        <f>IFERROR(VLOOKUP(A50,'Kategorisering af kcal'!$J$2:$K$18,2,FALSE),"")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0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9"/>
        <v>0</v>
      </c>
      <c r="AA50">
        <f t="shared" ca="1" si="10"/>
        <v>0</v>
      </c>
      <c r="AC50" s="94">
        <f t="shared" ca="1" si="8"/>
        <v>3010292.0648196544</v>
      </c>
      <c r="AD50">
        <f ca="1">AC50*E50*10000*VLOOKUP(A50,[1]kcal!$A$2:$C$49,3,FALSE)/1000000000000</f>
        <v>0</v>
      </c>
    </row>
    <row r="51" spans="1:30" x14ac:dyDescent="0.25">
      <c r="A51" s="171" t="s">
        <v>118</v>
      </c>
      <c r="B51" s="171"/>
      <c r="C51" s="171" t="str">
        <f>IFERROR(VLOOKUP(A51,'Kategorisering af kcal'!$J$2:$K$18,2,FALSE),"")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0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9"/>
        <v>0</v>
      </c>
      <c r="AA51">
        <f t="shared" ca="1" si="10"/>
        <v>0</v>
      </c>
      <c r="AC51" s="94">
        <f t="shared" ca="1" si="8"/>
        <v>827707.93518034508</v>
      </c>
      <c r="AD51">
        <f ca="1">AC51*E51*10000*VLOOKUP(A51,[1]kcal!$A$2:$C$49,3,FALSE)/1000000000000</f>
        <v>0</v>
      </c>
    </row>
    <row r="52" spans="1:30" x14ac:dyDescent="0.25">
      <c r="A52" s="171" t="str">
        <f t="shared" ref="A52:A115" si="11">A4</f>
        <v>Æg</v>
      </c>
      <c r="B52" s="171" t="str">
        <f t="shared" ref="B52:B115" si="12">IF(B4&lt;&gt;"",B4,"")</f>
        <v/>
      </c>
      <c r="C52" s="171" t="str">
        <f>IFERROR(VLOOKUP(A52,'Kategorisering af kcal'!$J$2:$K$18,2,FALSE),"")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3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231735.42929078528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170946.30461315688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9"/>
        <v>0</v>
      </c>
      <c r="AA52">
        <f t="shared" si="10"/>
        <v>1</v>
      </c>
      <c r="AC52" s="94">
        <f t="shared" si="8"/>
        <v>231735.42929078528</v>
      </c>
      <c r="AD52">
        <f>AC52*E52*10000*VLOOKUP(A52,[1]kcal!$A$2:$C$49,3,FALSE)/1000000000000</f>
        <v>0.31979489242128367</v>
      </c>
    </row>
    <row r="53" spans="1:30" x14ac:dyDescent="0.25">
      <c r="A53" s="171" t="str">
        <f t="shared" si="11"/>
        <v>Bælgsæd</v>
      </c>
      <c r="B53" s="171" t="str">
        <f t="shared" si="12"/>
        <v/>
      </c>
      <c r="C53" s="171" t="str">
        <f>IFERROR(VLOOKUP(A53,'Kategorisering af kcal'!$J$2:$K$18,2,FALSE),"")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4">E5</f>
        <v>1</v>
      </c>
      <c r="F53" s="171">
        <f t="shared" si="13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292329.05624825694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70594.781553755733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221734.27469450119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9"/>
        <v>0</v>
      </c>
      <c r="AA53">
        <f t="shared" si="10"/>
        <v>1</v>
      </c>
      <c r="AC53" s="94">
        <f t="shared" si="8"/>
        <v>221734.27469450119</v>
      </c>
      <c r="AD53">
        <f>AC53*E53*10000*VLOOKUP(A53,[1]kcal!$A$2:$C$49,3,FALSE)/1000000000000</f>
        <v>1.5399445377533107</v>
      </c>
    </row>
    <row r="54" spans="1:30" x14ac:dyDescent="0.25">
      <c r="A54" s="171" t="str">
        <f t="shared" si="11"/>
        <v>Bioaffald</v>
      </c>
      <c r="B54" s="171" t="str">
        <f t="shared" si="12"/>
        <v>Bionedbrydeligt affald</v>
      </c>
      <c r="C54" s="171" t="str">
        <f>IFERROR(VLOOKUP(A54,'Kategorisering af kcal'!$J$2:$K$18,2,FALSE),"")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4"/>
        <v>0</v>
      </c>
      <c r="F54" s="171">
        <f t="shared" si="13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9"/>
        <v>0</v>
      </c>
      <c r="AA54">
        <f t="shared" ca="1" si="10"/>
        <v>0</v>
      </c>
      <c r="AC54" s="94">
        <f t="shared" ca="1" si="8"/>
        <v>363994.97174274386</v>
      </c>
      <c r="AD54">
        <f ca="1">AC54*E54*10000*VLOOKUP(A54,[1]kcal!$A$2:$C$49,3,FALSE)/1000000000000</f>
        <v>0</v>
      </c>
    </row>
    <row r="55" spans="1:30" x14ac:dyDescent="0.25">
      <c r="A55" s="171" t="str">
        <f t="shared" si="11"/>
        <v>Biogas</v>
      </c>
      <c r="B55" s="171" t="str">
        <f t="shared" si="12"/>
        <v/>
      </c>
      <c r="C55" s="171" t="str">
        <f>IFERROR(VLOOKUP(A55,'Kategorisering af kcal'!$J$2:$K$18,2,FALSE),"")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4"/>
        <v>0</v>
      </c>
      <c r="F55" s="171">
        <f t="shared" si="13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600506310.45722592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600506310.45722592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600506310.45722592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9"/>
        <v>0</v>
      </c>
      <c r="AA55">
        <f t="shared" ca="1" si="10"/>
        <v>0</v>
      </c>
      <c r="AC55" s="94">
        <f t="shared" ca="1" si="8"/>
        <v>600506310.45722592</v>
      </c>
      <c r="AD55">
        <f ca="1">AC55*E55*10000*VLOOKUP(A55,[1]kcal!$A$2:$C$49,3,FALSE)/1000000000000</f>
        <v>0</v>
      </c>
    </row>
    <row r="56" spans="1:30" x14ac:dyDescent="0.25">
      <c r="A56" s="171" t="str">
        <f t="shared" si="11"/>
        <v>Biogasgylle</v>
      </c>
      <c r="B56" s="171" t="str">
        <f t="shared" si="12"/>
        <v/>
      </c>
      <c r="C56" s="171" t="str">
        <f>IFERROR(VLOOKUP(A56,'Kategorisering af kcal'!$J$2:$K$18,2,FALSE),"")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4"/>
        <v>0</v>
      </c>
      <c r="F56" s="171">
        <f t="shared" si="13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28950393.886534661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23357523.299669795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5592870.5868648663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9"/>
        <v>0</v>
      </c>
      <c r="AA56">
        <f t="shared" ca="1" si="10"/>
        <v>1</v>
      </c>
      <c r="AC56" s="94">
        <f t="shared" ca="1" si="8"/>
        <v>5592870.5868648663</v>
      </c>
      <c r="AD56">
        <f ca="1">AC56*E56*10000*VLOOKUP(A56,[1]kcal!$A$2:$C$49,3,FALSE)/1000000000000</f>
        <v>0</v>
      </c>
    </row>
    <row r="57" spans="1:30" x14ac:dyDescent="0.25">
      <c r="A57" s="171" t="str">
        <f t="shared" si="11"/>
        <v>Brun saft</v>
      </c>
      <c r="B57" s="171" t="str">
        <f t="shared" si="12"/>
        <v>Bionedbrydeligt affald</v>
      </c>
      <c r="C57" s="171" t="str">
        <f>IFERROR(VLOOKUP(A57,'Kategorisering af kcal'!$J$2:$K$18,2,FALSE),"")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4"/>
        <v>0</v>
      </c>
      <c r="F57" s="171">
        <f t="shared" si="13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0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0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0</v>
      </c>
      <c r="P57" s="94">
        <f t="shared" si="4"/>
        <v>0</v>
      </c>
      <c r="Q57" s="180">
        <f t="shared" si="5"/>
        <v>0</v>
      </c>
      <c r="R57">
        <f>IFERROR(VLOOKUP(A57,[1]Energiindhold!$A$2:$C$11,3,FALSE),IFERROR(VLOOKUP(A57,[1]Biogasudbytte!$A$2:$B$18,2,FALSE)*[1]Energiindhold!$C$10,0))*P57</f>
        <v>0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0</v>
      </c>
      <c r="T57">
        <f>IFERROR(VLOOKUP(A57,[1]Biogasudbytte!$A$2:$B$18,2,FALSE)*[1]Energiindhold!$C$10,0)*K57*IFERROR(VLOOKUP(A57,Biogasanlæg!$F$3:$G$8,2,FALSE),1)</f>
        <v>0</v>
      </c>
      <c r="U57" s="170">
        <f t="shared" si="6"/>
        <v>0</v>
      </c>
      <c r="V57" s="169">
        <f>P57*IFERROR(VLOOKUP(A57,[1]Tørstofindhold!A$2:B$24,2,FALSE),0)</f>
        <v>0</v>
      </c>
      <c r="W57">
        <f>IF(F57=År1,Q57,SUM(P57,Q57))*IFERROR(VLOOKUP(A57,[1]Tørstofindhold!A$2:B$24,2,FALSE),0)</f>
        <v>0</v>
      </c>
      <c r="X57">
        <f>K57*IFERROR(VLOOKUP(A57,[1]Tørstofindhold!A$2:B$24,2,FALSE),0)</f>
        <v>0</v>
      </c>
      <c r="Y57" s="170">
        <f t="shared" si="7"/>
        <v>0</v>
      </c>
      <c r="Z57">
        <f t="shared" si="9"/>
        <v>0</v>
      </c>
      <c r="AA57">
        <f t="shared" si="10"/>
        <v>0</v>
      </c>
      <c r="AC57" s="94">
        <f t="shared" si="8"/>
        <v>0</v>
      </c>
      <c r="AD57">
        <f>AC57*E57*10000*VLOOKUP(A57,[1]kcal!$A$2:$C$49,3,FALSE)/1000000000000</f>
        <v>0</v>
      </c>
    </row>
    <row r="58" spans="1:30" x14ac:dyDescent="0.25">
      <c r="A58" s="171" t="str">
        <f t="shared" si="11"/>
        <v>Dybstrøelse</v>
      </c>
      <c r="B58" s="171" t="str">
        <f t="shared" si="12"/>
        <v>Husdyrgødning</v>
      </c>
      <c r="C58" s="171" t="str">
        <f>IFERROR(VLOOKUP(A58,'Kategorisering af kcal'!$J$2:$K$18,2,FALSE),"")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4"/>
        <v>0</v>
      </c>
      <c r="F58" s="171">
        <f t="shared" si="13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2918712.0403360021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2189034.0302520012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276235.24667465733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453442.76340934355</v>
      </c>
      <c r="P58" s="94">
        <f t="shared" si="4"/>
        <v>453442.76340934355</v>
      </c>
      <c r="Q58" s="180">
        <f t="shared" si="5"/>
        <v>2189034.0302520012</v>
      </c>
      <c r="R58">
        <f>IFERROR(VLOOKUP(A58,[1]Energiindhold!$A$2:$C$11,3,FALSE),IFERROR(VLOOKUP(A58,[1]Biogasudbytte!$A$2:$B$18,2,FALSE)*[1]Energiindhold!$C$10,0))*P58</f>
        <v>0.97671571238372601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5.6918950135465369</v>
      </c>
      <c r="T58">
        <f>IFERROR(VLOOKUP(A58,[1]Biogasudbytte!$A$2:$B$18,2,FALSE)*[1]Energiindhold!$C$10,0)*K58*IFERROR(VLOOKUP(A58,Biogasanlæg!$F$3:$G$8,2,FALSE),1)</f>
        <v>4.7151793011628111</v>
      </c>
      <c r="U58" s="170">
        <f t="shared" si="6"/>
        <v>0.97671571238372579</v>
      </c>
      <c r="V58" s="169">
        <f>P58*IFERROR(VLOOKUP(A58,[1]Tørstofindhold!A$2:B$24,2,FALSE),0)</f>
        <v>136032.82902280305</v>
      </c>
      <c r="W58">
        <f>IF(F58=År1,Q58,SUM(P58,Q58))*IFERROR(VLOOKUP(A58,[1]Tørstofindhold!A$2:B$24,2,FALSE),0)</f>
        <v>792743.03809840337</v>
      </c>
      <c r="X58">
        <f>K58*IFERROR(VLOOKUP(A58,[1]Tørstofindhold!A$2:B$24,2,FALSE),0)</f>
        <v>656710.20907560037</v>
      </c>
      <c r="Y58" s="170">
        <f t="shared" si="7"/>
        <v>136032.82902280299</v>
      </c>
      <c r="Z58">
        <f t="shared" si="9"/>
        <v>0</v>
      </c>
      <c r="AA58">
        <f t="shared" si="10"/>
        <v>1</v>
      </c>
      <c r="AC58" s="94">
        <f t="shared" si="8"/>
        <v>453442.76340934355</v>
      </c>
      <c r="AD58">
        <f>AC58*E58*10000*VLOOKUP(A58,[1]kcal!$A$2:$C$49,3,FALSE)/1000000000000</f>
        <v>0</v>
      </c>
    </row>
    <row r="59" spans="1:30" x14ac:dyDescent="0.25">
      <c r="A59" s="171" t="str">
        <f t="shared" si="11"/>
        <v>Fiberfraktion</v>
      </c>
      <c r="B59" s="171" t="str">
        <f t="shared" si="12"/>
        <v/>
      </c>
      <c r="C59" s="171" t="str">
        <f>IFERROR(VLOOKUP(A59,'Kategorisering af kcal'!$J$2:$K$18,2,FALSE),"")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4"/>
        <v>0</v>
      </c>
      <c r="F59" s="171">
        <f t="shared" si="13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0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0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0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9"/>
        <v>0</v>
      </c>
      <c r="AA59">
        <f t="shared" si="10"/>
        <v>0</v>
      </c>
      <c r="AC59" s="94">
        <f t="shared" si="8"/>
        <v>0</v>
      </c>
      <c r="AD59">
        <f>AC59*E59*10000*VLOOKUP(A59,[1]kcal!$A$2:$C$49,3,FALSE)/1000000000000</f>
        <v>0</v>
      </c>
    </row>
    <row r="60" spans="1:30" x14ac:dyDescent="0.25">
      <c r="A60" s="171" t="str">
        <f t="shared" si="11"/>
        <v>Fjerkrægylle</v>
      </c>
      <c r="B60" s="171" t="str">
        <f t="shared" si="12"/>
        <v>Husdyrgødning</v>
      </c>
      <c r="C60" s="171" t="str">
        <f>IFERROR(VLOOKUP(A60,'Kategorisering af kcal'!$J$2:$K$18,2,FALSE),"")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4"/>
        <v>0</v>
      </c>
      <c r="F60" s="171">
        <f t="shared" si="13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9042.9280606983375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6782.1960455237531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2260.7320151745844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6782.1960455237531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3.1895989782493661E-3</v>
      </c>
      <c r="T60">
        <f>IFERROR(VLOOKUP(A60,[1]Biogasudbytte!$A$2:$B$18,2,FALSE)*[1]Energiindhold!$C$10,0)*K60*IFERROR(VLOOKUP(A60,Biogasanlæg!$F$3:$G$8,2,FALSE),1)</f>
        <v>3.1895989782493661E-3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427.27835086799644</v>
      </c>
      <c r="X60">
        <f>K60*IFERROR(VLOOKUP(A60,[1]Tørstofindhold!A$2:B$24,2,FALSE),0)</f>
        <v>427.27835086799644</v>
      </c>
      <c r="Y60" s="170">
        <f t="shared" si="7"/>
        <v>0</v>
      </c>
      <c r="Z60">
        <f t="shared" si="9"/>
        <v>0</v>
      </c>
      <c r="AA60">
        <f t="shared" si="10"/>
        <v>0</v>
      </c>
      <c r="AC60" s="94">
        <f t="shared" si="8"/>
        <v>0</v>
      </c>
      <c r="AD60">
        <f>AC60*E60*10000*VLOOKUP(A60,[1]kcal!$A$2:$C$49,3,FALSE)/1000000000000</f>
        <v>0</v>
      </c>
    </row>
    <row r="61" spans="1:30" x14ac:dyDescent="0.25">
      <c r="A61" s="171" t="str">
        <f t="shared" si="11"/>
        <v>Fjerkrækød</v>
      </c>
      <c r="B61" s="171" t="str">
        <f t="shared" si="12"/>
        <v/>
      </c>
      <c r="C61" s="171" t="str">
        <f>IFERROR(VLOOKUP(A61,'Kategorisering af kcal'!$J$2:$K$18,2,FALSE),"")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4"/>
        <v>1</v>
      </c>
      <c r="F61" s="171">
        <f t="shared" si="13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196872.93522310784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131018.05015567706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9"/>
        <v>0</v>
      </c>
      <c r="AA61">
        <f t="shared" si="10"/>
        <v>1</v>
      </c>
      <c r="AC61" s="94">
        <f t="shared" si="8"/>
        <v>196872.93522310784</v>
      </c>
      <c r="AD61">
        <f>AC61*E61*10000*VLOOKUP(A61,[1]kcal!$A$2:$C$49,3,FALSE)/1000000000000</f>
        <v>0.29924686153912389</v>
      </c>
    </row>
    <row r="62" spans="1:30" x14ac:dyDescent="0.25">
      <c r="A62" s="171" t="str">
        <f t="shared" si="11"/>
        <v>Frø</v>
      </c>
      <c r="B62" s="171" t="str">
        <f t="shared" si="12"/>
        <v/>
      </c>
      <c r="C62" s="171" t="str">
        <f>IFERROR(VLOOKUP(A62,'Kategorisering af kcal'!$J$2:$K$18,2,FALSE),"")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4"/>
        <v>0</v>
      </c>
      <c r="F62" s="171">
        <f t="shared" si="13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1536609.9114825001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1536609.9114825001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9"/>
        <v>0</v>
      </c>
      <c r="AA62">
        <f t="shared" si="10"/>
        <v>1</v>
      </c>
      <c r="AC62" s="94">
        <f t="shared" si="8"/>
        <v>1536609.9114825001</v>
      </c>
      <c r="AD62">
        <f>AC62*E62*10000*VLOOKUP(A62,[1]kcal!$A$2:$C$49,3,FALSE)/1000000000000</f>
        <v>0</v>
      </c>
    </row>
    <row r="63" spans="1:30" x14ac:dyDescent="0.25">
      <c r="A63" s="171" t="str">
        <f t="shared" si="11"/>
        <v>Frugt</v>
      </c>
      <c r="B63" s="171" t="str">
        <f t="shared" si="12"/>
        <v/>
      </c>
      <c r="C63" s="171" t="str">
        <f>IFERROR(VLOOKUP(A63,'Kategorisering af kcal'!$J$2:$K$18,2,FALSE),"")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4"/>
        <v>1</v>
      </c>
      <c r="F63" s="171">
        <f t="shared" si="13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42881.706564856053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-438365.53046636883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9"/>
        <v>1</v>
      </c>
      <c r="AA63">
        <f t="shared" si="10"/>
        <v>0</v>
      </c>
      <c r="AC63" s="94">
        <f t="shared" si="8"/>
        <v>42881.706564856053</v>
      </c>
      <c r="AD63">
        <f>AC63*E63*10000*VLOOKUP(A63,[1]kcal!$A$2:$C$49,3,FALSE)/1000000000000</f>
        <v>2.2298487413725147E-2</v>
      </c>
    </row>
    <row r="64" spans="1:30" x14ac:dyDescent="0.25">
      <c r="A64" s="171" t="str">
        <f t="shared" si="11"/>
        <v>Glycerin</v>
      </c>
      <c r="B64" s="171" t="str">
        <f t="shared" si="12"/>
        <v>Glycerin</v>
      </c>
      <c r="C64" s="171" t="str">
        <f>IFERROR(VLOOKUP(A64,'Kategorisering af kcal'!$J$2:$K$18,2,FALSE),"")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4"/>
        <v>0</v>
      </c>
      <c r="F64" s="171">
        <f t="shared" si="13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142742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-142742</v>
      </c>
      <c r="P64" s="94">
        <f t="shared" si="4"/>
        <v>0</v>
      </c>
      <c r="Q64" s="180">
        <f t="shared" si="5"/>
        <v>142742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2.1694819870080004</v>
      </c>
      <c r="T64">
        <f>IFERROR(VLOOKUP(A64,[1]Biogasudbytte!$A$2:$B$18,2,FALSE)*[1]Energiindhold!$C$10,0)*K64*IFERROR(VLOOKUP(A64,Biogasanlæg!$F$3:$G$8,2,FALSE),1)</f>
        <v>2.1694819870080004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128467.8</v>
      </c>
      <c r="X64">
        <f>K64*IFERROR(VLOOKUP(A64,[1]Tørstofindhold!A$2:B$24,2,FALSE),0)</f>
        <v>128467.8</v>
      </c>
      <c r="Y64" s="170">
        <f t="shared" si="7"/>
        <v>0</v>
      </c>
      <c r="Z64">
        <f t="shared" si="9"/>
        <v>1</v>
      </c>
      <c r="AA64">
        <f t="shared" si="10"/>
        <v>0</v>
      </c>
      <c r="AC64" s="94">
        <f t="shared" si="8"/>
        <v>-142742</v>
      </c>
      <c r="AD64">
        <f>AC64*E64*10000*VLOOKUP(A64,[1]kcal!$A$2:$C$49,3,FALSE)/1000000000000</f>
        <v>0</v>
      </c>
    </row>
    <row r="65" spans="1:30" x14ac:dyDescent="0.25">
      <c r="A65" s="171" t="str">
        <f t="shared" si="11"/>
        <v>Græs</v>
      </c>
      <c r="B65" s="171" t="str">
        <f t="shared" si="12"/>
        <v>Græs og urter</v>
      </c>
      <c r="C65" s="171" t="str">
        <f>IFERROR(VLOOKUP(A65,'Kategorisering af kcal'!$J$2:$K$18,2,FALSE),"")</f>
        <v/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4"/>
        <v>0</v>
      </c>
      <c r="F65" s="171">
        <f t="shared" si="13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17968444.792239871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13394379.31674801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0</v>
      </c>
      <c r="O65" s="179">
        <f t="shared" si="3"/>
        <v>4574065.4754918609</v>
      </c>
      <c r="P65" s="94">
        <f t="shared" si="4"/>
        <v>4574065.4754918609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8.4157087167205873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8.4157087167205873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8.4157087167205873</v>
      </c>
      <c r="V65" s="169">
        <f>P65*IFERROR(VLOOKUP(A65,[1]Tørstofindhold!A$2:B$24,2,FALSE),0)</f>
        <v>1280738.3331377211</v>
      </c>
      <c r="W65">
        <f>IF(F65=År1,Q65,SUM(P65,Q65))*IFERROR(VLOOKUP(A65,[1]Tørstofindhold!A$2:B$24,2,FALSE),0)</f>
        <v>1280738.3331377211</v>
      </c>
      <c r="X65">
        <f>K65*IFERROR(VLOOKUP(A65,[1]Tørstofindhold!A$2:B$24,2,FALSE),0)</f>
        <v>0</v>
      </c>
      <c r="Y65" s="170">
        <f t="shared" si="7"/>
        <v>1280738.3331377211</v>
      </c>
      <c r="Z65">
        <f t="shared" si="9"/>
        <v>0</v>
      </c>
      <c r="AA65">
        <f t="shared" si="10"/>
        <v>1</v>
      </c>
      <c r="AC65" s="94">
        <f t="shared" si="8"/>
        <v>4574065.4754918609</v>
      </c>
      <c r="AD65">
        <f>AC65*E65*10000*VLOOKUP(A65,[1]kcal!$A$2:$C$49,3,FALSE)/1000000000000</f>
        <v>0</v>
      </c>
    </row>
    <row r="66" spans="1:30" x14ac:dyDescent="0.25">
      <c r="A66" s="171" t="str">
        <f t="shared" si="11"/>
        <v>Græsprotein</v>
      </c>
      <c r="B66" s="171" t="str">
        <f t="shared" si="12"/>
        <v/>
      </c>
      <c r="C66" s="171" t="str">
        <f>IFERROR(VLOOKUP(A66,'Kategorisering af kcal'!$J$2:$K$18,2,FALSE),"")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4"/>
        <v>0</v>
      </c>
      <c r="F66" s="171">
        <f t="shared" si="13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0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0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9"/>
        <v>0</v>
      </c>
      <c r="AA66">
        <f t="shared" si="10"/>
        <v>0</v>
      </c>
      <c r="AC66" s="94">
        <f t="shared" si="8"/>
        <v>0</v>
      </c>
      <c r="AD66">
        <f>AC66*E66*10000*VLOOKUP(A66,[1]kcal!$A$2:$C$49,3,FALSE)/1000000000000</f>
        <v>0</v>
      </c>
    </row>
    <row r="67" spans="1:30" x14ac:dyDescent="0.25">
      <c r="A67" s="171" t="str">
        <f t="shared" si="11"/>
        <v>Grøntsager</v>
      </c>
      <c r="B67" s="171" t="str">
        <f t="shared" si="12"/>
        <v/>
      </c>
      <c r="C67" s="171" t="str">
        <f>IFERROR(VLOOKUP(A67,'Kategorisering af kcal'!$J$2:$K$18,2,FALSE),"")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4"/>
        <v>1</v>
      </c>
      <c r="F67" s="171">
        <f t="shared" si="13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289312.26274375798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-214730.89604157762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9"/>
        <v>1</v>
      </c>
      <c r="AA67">
        <f t="shared" si="10"/>
        <v>0</v>
      </c>
      <c r="AC67" s="94">
        <f t="shared" si="8"/>
        <v>289312.26274375798</v>
      </c>
      <c r="AD67">
        <f>AC67*E67*10000*VLOOKUP(A67,[1]kcal!$A$2:$C$49,3,FALSE)/1000000000000</f>
        <v>0.11283178247006562</v>
      </c>
    </row>
    <row r="68" spans="1:30" x14ac:dyDescent="0.25">
      <c r="A68" s="171" t="str">
        <f t="shared" si="11"/>
        <v>Halm</v>
      </c>
      <c r="B68" s="171" t="str">
        <f t="shared" si="12"/>
        <v>Halm og strå</v>
      </c>
      <c r="C68" s="171" t="str">
        <f>IFERROR(VLOOKUP(A68,'Kategorisering af kcal'!$J$2:$K$18,2,FALSE),"")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4"/>
        <v>0</v>
      </c>
      <c r="F68" s="171">
        <f t="shared" si="13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5088867.3284057099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846156.89556793321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802036.83884204261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3440673.5939957332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3440673.5939957332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35.562135943713315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35.562135943713315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2924572.5548963733</v>
      </c>
      <c r="X68">
        <f>K68*IFERROR(VLOOKUP(A68,[1]Tørstofindhold!A$2:B$24,2,FALSE),0)</f>
        <v>0</v>
      </c>
      <c r="Y68" s="170">
        <f t="shared" si="7"/>
        <v>2924572.5548963733</v>
      </c>
      <c r="Z68">
        <f t="shared" ref="Z68:Z99" si="15">IF(SUMIFS($O$4:$O$147,$A$4:$A$147,A68,$F$4:$F$147,F68)&lt;0,1,0)</f>
        <v>0</v>
      </c>
      <c r="AA68">
        <f t="shared" ref="AA68:AA99" si="16">IF(SUMIFS($O$4:$O$147,$A$4:$A$147,A68,$F$4:$F$147,F68)&gt;0,1,0)</f>
        <v>0</v>
      </c>
      <c r="AC68" s="94">
        <f t="shared" si="8"/>
        <v>3440673.5939957341</v>
      </c>
      <c r="AD68">
        <f>AC68*E68*10000*VLOOKUP(A68,[1]kcal!$A$2:$C$49,3,FALSE)/1000000000000</f>
        <v>0</v>
      </c>
    </row>
    <row r="69" spans="1:30" x14ac:dyDescent="0.25">
      <c r="A69" s="171" t="str">
        <f t="shared" si="11"/>
        <v>Have/parkaffald</v>
      </c>
      <c r="B69" s="171" t="str">
        <f t="shared" si="12"/>
        <v>Bionedbrydeligt affald</v>
      </c>
      <c r="C69" s="171" t="str">
        <f>IFERROR(VLOOKUP(A69,'Kategorisering af kcal'!$J$2:$K$18,2,FALSE),"")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4"/>
        <v>0</v>
      </c>
      <c r="F69" s="171">
        <f t="shared" si="13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750000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232809.00000000006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7">G69-SUM(H69:N69)</f>
        <v>0</v>
      </c>
      <c r="P69" s="94">
        <f t="shared" ref="P69:P132" si="18">IF(D69=1,MAX(O69,0),0)</f>
        <v>0</v>
      </c>
      <c r="Q69" s="180">
        <f t="shared" ref="Q69:Q134" si="19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5.4297101071975513</v>
      </c>
      <c r="T69">
        <f>IFERROR(VLOOKUP(A69,[1]Biogasudbytte!$A$2:$B$18,2,FALSE)*[1]Energiindhold!$C$10,0)*K69*IFERROR(VLOOKUP(A69,Biogasanlæg!$F$3:$G$8,2,FALSE),1)</f>
        <v>1.2735525000000001</v>
      </c>
      <c r="U69" s="170">
        <f t="shared" ref="U69:U134" si="20">S69-T69</f>
        <v>4.1561576071975512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225000</v>
      </c>
      <c r="Y69" s="170">
        <f t="shared" ref="Y69:Y134" si="21">W69-X69</f>
        <v>69842.700000000012</v>
      </c>
      <c r="Z69">
        <f t="shared" si="15"/>
        <v>0</v>
      </c>
      <c r="AA69">
        <f t="shared" si="16"/>
        <v>0</v>
      </c>
      <c r="AC69" s="94">
        <f t="shared" ref="AC69:AC132" si="22">G69-SUMPRODUCT($H$2:$N$2,H69:N69)</f>
        <v>232809</v>
      </c>
      <c r="AD69">
        <f>AC69*E69*10000*VLOOKUP(A69,[1]kcal!$A$2:$C$49,3,FALSE)/1000000000000</f>
        <v>0</v>
      </c>
    </row>
    <row r="70" spans="1:30" x14ac:dyDescent="0.25">
      <c r="A70" s="171" t="str">
        <f t="shared" si="11"/>
        <v>Import af foder</v>
      </c>
      <c r="B70" s="171" t="str">
        <f t="shared" si="12"/>
        <v/>
      </c>
      <c r="C70" s="171" t="str">
        <f>IFERROR(VLOOKUP(A70,'Kategorisering af kcal'!$J$2:$K$18,2,FALSE),"")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4"/>
        <v>1</v>
      </c>
      <c r="F70" s="171">
        <f t="shared" si="13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5284803.7857603254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7"/>
        <v>-5284803.7857603254</v>
      </c>
      <c r="P70" s="94">
        <f t="shared" si="18"/>
        <v>0</v>
      </c>
      <c r="Q70" s="180">
        <f t="shared" si="19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0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1"/>
        <v>0</v>
      </c>
      <c r="Z70">
        <f t="shared" si="15"/>
        <v>1</v>
      </c>
      <c r="AA70">
        <f t="shared" si="16"/>
        <v>0</v>
      </c>
      <c r="AC70" s="94">
        <f t="shared" si="22"/>
        <v>-5284803.7857603254</v>
      </c>
      <c r="AD70">
        <f>AC70*E70*10000*VLOOKUP(A70,[1]kcal!$A$2:$C$49,3,FALSE)/1000000000000</f>
        <v>-3.0123381578833857</v>
      </c>
    </row>
    <row r="71" spans="1:30" x14ac:dyDescent="0.25">
      <c r="A71" s="171" t="str">
        <f t="shared" si="11"/>
        <v>Industriaffald</v>
      </c>
      <c r="B71" s="171" t="str">
        <f t="shared" si="12"/>
        <v>Bionedbrydeligt affald</v>
      </c>
      <c r="C71" s="171" t="str">
        <f>IFERROR(VLOOKUP(A71,'Kategorisering af kcal'!$J$2:$K$18,2,FALSE),"")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4"/>
        <v>0</v>
      </c>
      <c r="F71" s="171">
        <f t="shared" si="13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718058.01774869044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7"/>
        <v>718058.01774869044</v>
      </c>
      <c r="P71" s="94">
        <f t="shared" si="18"/>
        <v>718058.01774869044</v>
      </c>
      <c r="Q71" s="180">
        <f t="shared" si="19"/>
        <v>0</v>
      </c>
      <c r="R71">
        <f>IFERROR(VLOOKUP(A71,[1]Energiindhold!$A$2:$C$11,3,FALSE),IFERROR(VLOOKUP(A71,[1]Biogasudbytte!$A$2:$B$18,2,FALSE)*[1]Energiindhold!$C$10,0))*P71</f>
        <v>3.1114387384473834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3.1114387384473834</v>
      </c>
      <c r="T71">
        <f>IFERROR(VLOOKUP(A71,[1]Biogasudbytte!$A$2:$B$18,2,FALSE)*[1]Energiindhold!$C$10,0)*K71*IFERROR(VLOOKUP(A71,Biogasanlæg!$F$3:$G$8,2,FALSE),1)</f>
        <v>0</v>
      </c>
      <c r="U71" s="170">
        <f t="shared" si="20"/>
        <v>3.1114387384473834</v>
      </c>
      <c r="V71" s="169">
        <f>P71*IFERROR(VLOOKUP(A71,[1]Tørstofindhold!A$2:B$24,2,FALSE),0)</f>
        <v>301584.36745445</v>
      </c>
      <c r="W71">
        <f>IF(F71=År1,Q71,SUM(P71,Q71))*IFERROR(VLOOKUP(A71,[1]Tørstofindhold!A$2:B$24,2,FALSE),0)</f>
        <v>301584.36745445</v>
      </c>
      <c r="X71">
        <f>K71*IFERROR(VLOOKUP(A71,[1]Tørstofindhold!A$2:B$24,2,FALSE),0)</f>
        <v>0</v>
      </c>
      <c r="Y71" s="170">
        <f t="shared" si="21"/>
        <v>301584.36745445</v>
      </c>
      <c r="Z71">
        <f t="shared" si="15"/>
        <v>0</v>
      </c>
      <c r="AA71">
        <f t="shared" si="16"/>
        <v>1</v>
      </c>
      <c r="AC71" s="94">
        <f t="shared" si="22"/>
        <v>718058.01774869044</v>
      </c>
      <c r="AD71">
        <f>AC71*E71*10000*VLOOKUP(A71,[1]kcal!$A$2:$C$49,3,FALSE)/1000000000000</f>
        <v>0</v>
      </c>
    </row>
    <row r="72" spans="1:30" x14ac:dyDescent="0.25">
      <c r="A72" s="171" t="str">
        <f t="shared" si="11"/>
        <v>Juletræer</v>
      </c>
      <c r="B72" s="171" t="str">
        <f t="shared" si="12"/>
        <v/>
      </c>
      <c r="C72" s="171" t="str">
        <f>IFERROR(VLOOKUP(A72,'Kategorisering af kcal'!$J$2:$K$18,2,FALSE),"")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4"/>
        <v>0</v>
      </c>
      <c r="F72" s="171">
        <f t="shared" si="13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933739.34333929513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7"/>
        <v>933739.34333929513</v>
      </c>
      <c r="P72" s="94">
        <f t="shared" si="18"/>
        <v>0</v>
      </c>
      <c r="Q72" s="180">
        <f t="shared" si="19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0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1"/>
        <v>0</v>
      </c>
      <c r="Z72">
        <f t="shared" si="15"/>
        <v>0</v>
      </c>
      <c r="AA72">
        <f t="shared" si="16"/>
        <v>1</v>
      </c>
      <c r="AC72" s="94">
        <f t="shared" si="22"/>
        <v>933739.34333929513</v>
      </c>
      <c r="AD72">
        <f>AC72*E72*10000*VLOOKUP(A72,[1]kcal!$A$2:$C$49,3,FALSE)/1000000000000</f>
        <v>0</v>
      </c>
    </row>
    <row r="73" spans="1:30" x14ac:dyDescent="0.25">
      <c r="A73" s="171" t="str">
        <f t="shared" si="11"/>
        <v>Kartofler</v>
      </c>
      <c r="B73" s="171" t="str">
        <f t="shared" si="12"/>
        <v/>
      </c>
      <c r="C73" s="171" t="str">
        <f>IFERROR(VLOOKUP(A73,'Kategorisering af kcal'!$J$2:$K$18,2,FALSE),"")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4"/>
        <v>1</v>
      </c>
      <c r="F73" s="171">
        <f t="shared" si="13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2305378.5955234999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7"/>
        <v>2074886.4977874921</v>
      </c>
      <c r="P73" s="94">
        <f t="shared" si="18"/>
        <v>0</v>
      </c>
      <c r="Q73" s="180">
        <f t="shared" si="19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0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1"/>
        <v>0</v>
      </c>
      <c r="Z73">
        <f t="shared" si="15"/>
        <v>0</v>
      </c>
      <c r="AA73">
        <f t="shared" si="16"/>
        <v>1</v>
      </c>
      <c r="AC73" s="94">
        <f t="shared" si="22"/>
        <v>2305378.5955234999</v>
      </c>
      <c r="AD73">
        <f>AC73*E73*10000*VLOOKUP(A73,[1]kcal!$A$2:$C$49,3,FALSE)/1000000000000</f>
        <v>1.7981953045083301</v>
      </c>
    </row>
    <row r="74" spans="1:30" x14ac:dyDescent="0.25">
      <c r="A74" s="171" t="str">
        <f t="shared" si="11"/>
        <v>Korn</v>
      </c>
      <c r="B74" s="171" t="str">
        <f t="shared" si="12"/>
        <v>Halm og strå</v>
      </c>
      <c r="C74" s="171" t="str">
        <f>IFERROR(VLOOKUP(A74,'Kategorisering af kcal'!$J$2:$K$18,2,FALSE),"")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4"/>
        <v>1</v>
      </c>
      <c r="F74" s="171">
        <f t="shared" si="13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9376361.2933862042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6434910.4352402603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7"/>
        <v>2389282.9756574854</v>
      </c>
      <c r="P74" s="94">
        <f t="shared" si="18"/>
        <v>2389282.9756574854</v>
      </c>
      <c r="Q74" s="180">
        <f t="shared" si="19"/>
        <v>0</v>
      </c>
      <c r="R74">
        <f>IFERROR(VLOOKUP(A74,[1]Energiindhold!$A$2:$C$11,3,FALSE),IFERROR(VLOOKUP(A74,[1]Biogasudbytte!$A$2:$B$18,2,FALSE)*[1]Energiindhold!$C$10,0))*P74</f>
        <v>8.1829596920102965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8.1829596920102965</v>
      </c>
      <c r="T74">
        <f>IFERROR(VLOOKUP(A74,[1]Biogasudbytte!$A$2:$B$18,2,FALSE)*[1]Energiindhold!$C$10,0)*K74*IFERROR(VLOOKUP(A74,Biogasanlæg!$F$3:$G$8,2,FALSE),1)</f>
        <v>0</v>
      </c>
      <c r="U74" s="170">
        <f t="shared" si="20"/>
        <v>8.1829596920102965</v>
      </c>
      <c r="V74" s="169">
        <f>P74*IFERROR(VLOOKUP(A74,[1]Tørstofindhold!A$2:B$24,2,FALSE),0)</f>
        <v>740677.72245382052</v>
      </c>
      <c r="W74">
        <f>IF(F74=År1,Q74,SUM(P74,Q74))*IFERROR(VLOOKUP(A74,[1]Tørstofindhold!A$2:B$24,2,FALSE),0)</f>
        <v>740677.72245382052</v>
      </c>
      <c r="X74">
        <f>K74*IFERROR(VLOOKUP(A74,[1]Tørstofindhold!A$2:B$24,2,FALSE),0)</f>
        <v>0</v>
      </c>
      <c r="Y74" s="170">
        <f t="shared" si="21"/>
        <v>740677.72245382052</v>
      </c>
      <c r="Z74">
        <f t="shared" si="15"/>
        <v>0</v>
      </c>
      <c r="AA74">
        <f t="shared" si="16"/>
        <v>1</v>
      </c>
      <c r="AC74" s="94">
        <f t="shared" si="22"/>
        <v>2941450.8581459438</v>
      </c>
      <c r="AD74">
        <f>AC74*E74*10000*VLOOKUP(A74,[1]kcal!$A$2:$C$49,3,FALSE)/1000000000000</f>
        <v>10.765710140814154</v>
      </c>
    </row>
    <row r="75" spans="1:30" x14ac:dyDescent="0.25">
      <c r="A75" s="171" t="str">
        <f t="shared" si="11"/>
        <v>Kunstgødning</v>
      </c>
      <c r="B75" s="171" t="str">
        <f t="shared" si="12"/>
        <v/>
      </c>
      <c r="C75" s="171" t="str">
        <f>IFERROR(VLOOKUP(A75,'Kategorisering af kcal'!$J$2:$K$18,2,FALSE),"")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4"/>
        <v>0</v>
      </c>
      <c r="F75" s="171">
        <f t="shared" si="13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925665.22791706468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7"/>
        <v>-925665.22791706468</v>
      </c>
      <c r="P75" s="94">
        <f t="shared" si="18"/>
        <v>0</v>
      </c>
      <c r="Q75" s="180">
        <f t="shared" si="19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0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1"/>
        <v>0</v>
      </c>
      <c r="Z75">
        <f t="shared" ca="1" si="15"/>
        <v>1</v>
      </c>
      <c r="AA75">
        <f t="shared" ca="1" si="16"/>
        <v>0</v>
      </c>
      <c r="AC75" s="94">
        <f t="shared" ca="1" si="22"/>
        <v>-925665.22791706468</v>
      </c>
      <c r="AD75">
        <f ca="1">AC75*E75*10000*VLOOKUP(A75,[1]kcal!$A$2:$C$49,3,FALSE)/1000000000000</f>
        <v>0</v>
      </c>
    </row>
    <row r="76" spans="1:30" x14ac:dyDescent="0.25">
      <c r="A76" s="171" t="str">
        <f t="shared" si="11"/>
        <v>Kvæggylle</v>
      </c>
      <c r="B76" s="171" t="str">
        <f t="shared" si="12"/>
        <v>Husdyrgødning</v>
      </c>
      <c r="C76" s="171" t="str">
        <f>IFERROR(VLOOKUP(A76,'Kategorisering af kcal'!$J$2:$K$18,2,FALSE),"")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4"/>
        <v>0</v>
      </c>
      <c r="F76" s="171">
        <f t="shared" si="13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13906285.884001991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10429714.413001494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3476571.4710004977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7"/>
        <v>0</v>
      </c>
      <c r="P76" s="94">
        <f t="shared" si="18"/>
        <v>0</v>
      </c>
      <c r="Q76" s="180">
        <f t="shared" si="19"/>
        <v>10429714.413001494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5.2794171387172275</v>
      </c>
      <c r="T76">
        <f>IFERROR(VLOOKUP(A76,[1]Biogasudbytte!$A$2:$B$18,2,FALSE)*[1]Energiindhold!$C$10,0)*K76*IFERROR(VLOOKUP(A76,Biogasanlæg!$F$3:$G$8,2,FALSE),1)</f>
        <v>5.2794171387172275</v>
      </c>
      <c r="U76" s="170">
        <f t="shared" si="20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792658.29538811359</v>
      </c>
      <c r="X76">
        <f>K76*IFERROR(VLOOKUP(A76,[1]Tørstofindhold!A$2:B$24,2,FALSE),0)</f>
        <v>792658.29538811359</v>
      </c>
      <c r="Y76" s="170">
        <f t="shared" si="21"/>
        <v>0</v>
      </c>
      <c r="Z76">
        <f t="shared" si="15"/>
        <v>0</v>
      </c>
      <c r="AA76">
        <f t="shared" si="16"/>
        <v>0</v>
      </c>
      <c r="AC76" s="94">
        <f t="shared" si="22"/>
        <v>0</v>
      </c>
      <c r="AD76">
        <f>AC76*E76*10000*VLOOKUP(A76,[1]kcal!$A$2:$C$49,3,FALSE)/1000000000000</f>
        <v>0</v>
      </c>
    </row>
    <row r="77" spans="1:30" x14ac:dyDescent="0.25">
      <c r="A77" s="171" t="str">
        <f t="shared" si="11"/>
        <v>Mælk til foder</v>
      </c>
      <c r="B77" s="171" t="str">
        <f t="shared" si="12"/>
        <v/>
      </c>
      <c r="C77" s="171" t="str">
        <f>IFERROR(VLOOKUP(A77,'Kategorisering af kcal'!$J$2:$K$18,2,FALSE),"")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4"/>
        <v>0</v>
      </c>
      <c r="F77" s="171">
        <f t="shared" si="13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1736204.3992602557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1658977.3665132597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7"/>
        <v>77227.032746996032</v>
      </c>
      <c r="P77" s="94">
        <f t="shared" si="18"/>
        <v>0</v>
      </c>
      <c r="Q77" s="180">
        <f t="shared" si="19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0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1"/>
        <v>0</v>
      </c>
      <c r="Z77">
        <f t="shared" si="15"/>
        <v>0</v>
      </c>
      <c r="AA77">
        <f t="shared" si="16"/>
        <v>1</v>
      </c>
      <c r="AC77" s="94">
        <f t="shared" si="22"/>
        <v>77227.032746996032</v>
      </c>
      <c r="AD77">
        <f>AC77*E77*10000*VLOOKUP(A77,[1]kcal!$A$2:$C$49,3,FALSE)/1000000000000</f>
        <v>0</v>
      </c>
    </row>
    <row r="78" spans="1:30" x14ac:dyDescent="0.25">
      <c r="A78" s="171" t="str">
        <f t="shared" si="11"/>
        <v>Majs</v>
      </c>
      <c r="B78" s="171" t="str">
        <f t="shared" si="12"/>
        <v>Græs og urter</v>
      </c>
      <c r="C78" s="171" t="str">
        <f>IFERROR(VLOOKUP(A78,'Kategorisering af kcal'!$J$2:$K$18,2,FALSE),"")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4"/>
        <v>1</v>
      </c>
      <c r="F78" s="171">
        <f t="shared" si="13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8192913.6512023881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6191750.632110659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7"/>
        <v>2001163.0190917291</v>
      </c>
      <c r="P78" s="94">
        <f t="shared" si="18"/>
        <v>2001163.0190917291</v>
      </c>
      <c r="Q78" s="180">
        <f t="shared" si="19"/>
        <v>0</v>
      </c>
      <c r="R78">
        <f>IFERROR(VLOOKUP(A78,[1]Energiindhold!$A$2:$C$11,3,FALSE),IFERROR(VLOOKUP(A78,[1]Biogasudbytte!$A$2:$B$18,2,FALSE)*[1]Energiindhold!$C$10,0))*P78</f>
        <v>7.1841752385393081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7.1841752385393081</v>
      </c>
      <c r="T78">
        <f>IFERROR(VLOOKUP(A78,[1]Biogasudbytte!$A$2:$B$18,2,FALSE)*[1]Energiindhold!$C$10,0)*K78*IFERROR(VLOOKUP(A78,Biogasanlæg!$F$3:$G$8,2,FALSE),1)</f>
        <v>0</v>
      </c>
      <c r="U78" s="170">
        <f t="shared" si="20"/>
        <v>7.1841752385393081</v>
      </c>
      <c r="V78" s="169">
        <f>P78*IFERROR(VLOOKUP(A78,[1]Tørstofindhold!A$2:B$24,2,FALSE),0)</f>
        <v>600348.90572751872</v>
      </c>
      <c r="W78">
        <f>IF(F78=År1,Q78,SUM(P78,Q78))*IFERROR(VLOOKUP(A78,[1]Tørstofindhold!A$2:B$24,2,FALSE),0)</f>
        <v>600348.90572751872</v>
      </c>
      <c r="X78">
        <f>K78*IFERROR(VLOOKUP(A78,[1]Tørstofindhold!A$2:B$24,2,FALSE),0)</f>
        <v>0</v>
      </c>
      <c r="Y78" s="170">
        <f t="shared" si="21"/>
        <v>600348.90572751872</v>
      </c>
      <c r="Z78">
        <f t="shared" si="15"/>
        <v>0</v>
      </c>
      <c r="AA78">
        <f t="shared" si="16"/>
        <v>1</v>
      </c>
      <c r="AC78" s="94">
        <f t="shared" si="22"/>
        <v>2001163.0190917291</v>
      </c>
      <c r="AD78">
        <f>AC78*E78*10000*VLOOKUP(A78,[1]kcal!$A$2:$C$49,3,FALSE)/1000000000000</f>
        <v>1.8210583473734734</v>
      </c>
    </row>
    <row r="79" spans="1:30" x14ac:dyDescent="0.25">
      <c r="A79" s="171" t="str">
        <f t="shared" si="11"/>
        <v>Mejeriprodukter</v>
      </c>
      <c r="B79" s="171" t="str">
        <f t="shared" si="12"/>
        <v/>
      </c>
      <c r="C79" s="171" t="str">
        <f>IFERROR(VLOOKUP(A79,'Kategorisering af kcal'!$J$2:$K$18,2,FALSE),"")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4"/>
        <v>1</v>
      </c>
      <c r="F79" s="171">
        <f t="shared" si="13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3349973.4189923876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7"/>
        <v>2468531.1111667757</v>
      </c>
      <c r="P79" s="94">
        <f t="shared" si="18"/>
        <v>0</v>
      </c>
      <c r="Q79" s="180">
        <f t="shared" si="19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0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1"/>
        <v>0</v>
      </c>
      <c r="Z79">
        <f t="shared" si="15"/>
        <v>0</v>
      </c>
      <c r="AA79">
        <f t="shared" si="16"/>
        <v>1</v>
      </c>
      <c r="AC79" s="94">
        <f t="shared" si="22"/>
        <v>3349973.4189923876</v>
      </c>
      <c r="AD79">
        <f>AC79*E79*10000*VLOOKUP(A79,[1]kcal!$A$2:$C$49,3,FALSE)/1000000000000</f>
        <v>2.1104832539652043</v>
      </c>
    </row>
    <row r="80" spans="1:30" x14ac:dyDescent="0.25">
      <c r="A80" s="171" t="str">
        <f t="shared" si="11"/>
        <v>Muslinger</v>
      </c>
      <c r="B80" s="171" t="str">
        <f t="shared" si="12"/>
        <v>Havbiomasse</v>
      </c>
      <c r="C80" s="171" t="str">
        <f>IFERROR(VLOOKUP(A80,'Kategorisering af kcal'!$J$2:$K$18,2,FALSE),"")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4"/>
        <v>1</v>
      </c>
      <c r="F80" s="171">
        <f t="shared" si="13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7"/>
        <v>880.09999999999991</v>
      </c>
      <c r="P80" s="94">
        <f t="shared" si="18"/>
        <v>880.09999999999991</v>
      </c>
      <c r="Q80" s="180">
        <f t="shared" si="19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0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1"/>
        <v>132.01499999999999</v>
      </c>
      <c r="Z80">
        <f t="shared" si="15"/>
        <v>0</v>
      </c>
      <c r="AA80">
        <f t="shared" si="16"/>
        <v>1</v>
      </c>
      <c r="AC80" s="94">
        <f t="shared" si="22"/>
        <v>880.09999999999991</v>
      </c>
      <c r="AD80">
        <f>AC80*E80*10000*VLOOKUP(A80,[1]kcal!$A$2:$C$49,3,FALSE)/1000000000000</f>
        <v>7.3048299999999998E-4</v>
      </c>
    </row>
    <row r="81" spans="1:30" x14ac:dyDescent="0.25">
      <c r="A81" s="171" t="str">
        <f t="shared" si="11"/>
        <v>Oksekød</v>
      </c>
      <c r="B81" s="171" t="str">
        <f t="shared" si="12"/>
        <v/>
      </c>
      <c r="C81" s="171" t="str">
        <f>IFERROR(VLOOKUP(A81,'Kategorisering af kcal'!$J$2:$K$18,2,FALSE),"")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4"/>
        <v>1</v>
      </c>
      <c r="F81" s="171">
        <f t="shared" si="13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113713.9338619913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7"/>
        <v>1709.9716434609581</v>
      </c>
      <c r="P81" s="94">
        <f t="shared" si="18"/>
        <v>0</v>
      </c>
      <c r="Q81" s="180">
        <f t="shared" si="19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0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1"/>
        <v>0</v>
      </c>
      <c r="Z81">
        <f t="shared" si="15"/>
        <v>0</v>
      </c>
      <c r="AA81">
        <f t="shared" si="16"/>
        <v>1</v>
      </c>
      <c r="AC81" s="94">
        <f t="shared" si="22"/>
        <v>113713.9338619913</v>
      </c>
      <c r="AD81">
        <f>AC81*E81*10000*VLOOKUP(A81,[1]kcal!$A$2:$C$49,3,FALSE)/1000000000000</f>
        <v>0.22174217103088306</v>
      </c>
    </row>
    <row r="82" spans="1:30" x14ac:dyDescent="0.25">
      <c r="A82" s="171" t="str">
        <f t="shared" si="11"/>
        <v>Øvrige</v>
      </c>
      <c r="B82" s="171" t="str">
        <f t="shared" si="12"/>
        <v/>
      </c>
      <c r="C82" s="171" t="str">
        <f>IFERROR(VLOOKUP(A82,'Kategorisering af kcal'!$J$2:$K$18,2,FALSE),"")</f>
        <v>Øvrige</v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4"/>
        <v>1</v>
      </c>
      <c r="F82" s="171">
        <f t="shared" si="13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2055003.2426024945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7"/>
        <v>2055003.2426024945</v>
      </c>
      <c r="P82" s="94">
        <f t="shared" si="18"/>
        <v>0</v>
      </c>
      <c r="Q82" s="180">
        <f t="shared" si="19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0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1"/>
        <v>0</v>
      </c>
      <c r="Z82">
        <f t="shared" si="15"/>
        <v>0</v>
      </c>
      <c r="AA82">
        <f t="shared" si="16"/>
        <v>1</v>
      </c>
      <c r="AC82" s="94">
        <f t="shared" si="22"/>
        <v>2055003.2426024945</v>
      </c>
      <c r="AD82">
        <f>AC82*E82*10000*VLOOKUP(A82,[1]kcal!$A$2:$C$49,3,FALSE)/1000000000000</f>
        <v>0.80145126461497274</v>
      </c>
    </row>
    <row r="83" spans="1:30" x14ac:dyDescent="0.25">
      <c r="A83" s="171" t="str">
        <f t="shared" si="11"/>
        <v>Pil &amp; poppel</v>
      </c>
      <c r="B83" s="171" t="str">
        <f t="shared" si="12"/>
        <v>Vedmasse</v>
      </c>
      <c r="C83" s="171" t="str">
        <f>IFERROR(VLOOKUP(A83,'Kategorisering af kcal'!$J$2:$K$18,2,FALSE),"")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4"/>
        <v>0</v>
      </c>
      <c r="F83" s="171">
        <f t="shared" si="13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209871.78410050535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209871.78410050535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7"/>
        <v>0</v>
      </c>
      <c r="P83" s="94">
        <f t="shared" si="18"/>
        <v>0</v>
      </c>
      <c r="Q83" s="180">
        <f t="shared" si="19"/>
        <v>209871.78410050535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3.8616408274492979</v>
      </c>
      <c r="T83">
        <f>IFERROR(VLOOKUP(A83,[1]Biogasudbytte!$A$2:$B$18,2,FALSE)*[1]Energiindhold!$C$10,0)*K83*IFERROR(VLOOKUP(A83,Biogasanlæg!$F$3:$G$8,2,FALSE),1)</f>
        <v>0</v>
      </c>
      <c r="U83" s="170">
        <f t="shared" si="20"/>
        <v>3.8616408274492979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87096.790401709732</v>
      </c>
      <c r="X83">
        <f>K83*IFERROR(VLOOKUP(A83,[1]Tørstofindhold!A$2:B$24,2,FALSE),0)</f>
        <v>0</v>
      </c>
      <c r="Y83" s="170">
        <f t="shared" si="21"/>
        <v>87096.790401709732</v>
      </c>
      <c r="Z83">
        <f t="shared" si="15"/>
        <v>0</v>
      </c>
      <c r="AA83">
        <f t="shared" si="16"/>
        <v>0</v>
      </c>
      <c r="AC83" s="94">
        <f t="shared" si="22"/>
        <v>209871.78410050535</v>
      </c>
      <c r="AD83">
        <f>AC83*E83*10000*VLOOKUP(A83,[1]kcal!$A$2:$C$49,3,FALSE)/1000000000000</f>
        <v>0</v>
      </c>
    </row>
    <row r="84" spans="1:30" x14ac:dyDescent="0.25">
      <c r="A84" s="171" t="str">
        <f t="shared" si="11"/>
        <v>Pyrolysegas</v>
      </c>
      <c r="B84" s="171" t="str">
        <f t="shared" si="12"/>
        <v>Pyrolyseprodukter</v>
      </c>
      <c r="C84" s="171" t="str">
        <f>IFERROR(VLOOKUP(A84,'Kategorisering af kcal'!$J$2:$K$18,2,FALSE),"")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4"/>
        <v>0</v>
      </c>
      <c r="F84" s="171">
        <f t="shared" si="13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7"/>
        <v>0</v>
      </c>
      <c r="P84" s="94">
        <f t="shared" si="18"/>
        <v>0</v>
      </c>
      <c r="Q84" s="180">
        <f t="shared" si="19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0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1"/>
        <v>0</v>
      </c>
      <c r="Z84">
        <f t="shared" si="15"/>
        <v>0</v>
      </c>
      <c r="AA84">
        <f t="shared" si="16"/>
        <v>0</v>
      </c>
      <c r="AC84" s="94">
        <f t="shared" si="22"/>
        <v>0</v>
      </c>
      <c r="AD84">
        <f>AC84*E84*10000*VLOOKUP(A84,[1]kcal!$A$2:$C$49,3,FALSE)/1000000000000</f>
        <v>0</v>
      </c>
    </row>
    <row r="85" spans="1:30" x14ac:dyDescent="0.25">
      <c r="A85" s="171" t="str">
        <f t="shared" si="11"/>
        <v>Pyrolyseolie</v>
      </c>
      <c r="B85" s="171" t="str">
        <f t="shared" si="12"/>
        <v>Pyrolyseprodukter</v>
      </c>
      <c r="C85" s="171" t="str">
        <f>IFERROR(VLOOKUP(A85,'Kategorisering af kcal'!$J$2:$K$18,2,FALSE),"")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4"/>
        <v>0</v>
      </c>
      <c r="F85" s="171">
        <f t="shared" si="13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7"/>
        <v>0</v>
      </c>
      <c r="P85" s="94">
        <f t="shared" si="18"/>
        <v>0</v>
      </c>
      <c r="Q85" s="180">
        <f t="shared" si="19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0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1"/>
        <v>0</v>
      </c>
      <c r="Z85">
        <f t="shared" si="15"/>
        <v>0</v>
      </c>
      <c r="AA85">
        <f t="shared" si="16"/>
        <v>0</v>
      </c>
      <c r="AC85" s="94">
        <f t="shared" si="22"/>
        <v>0</v>
      </c>
      <c r="AD85">
        <f>AC85*E85*10000*VLOOKUP(A85,[1]kcal!$A$2:$C$49,3,FALSE)/1000000000000</f>
        <v>0</v>
      </c>
    </row>
    <row r="86" spans="1:30" x14ac:dyDescent="0.25">
      <c r="A86" s="171" t="str">
        <f t="shared" si="11"/>
        <v>Råmælk</v>
      </c>
      <c r="B86" s="171" t="str">
        <f t="shared" si="12"/>
        <v/>
      </c>
      <c r="C86" s="171" t="str">
        <f>IFERROR(VLOOKUP(A86,'Kategorisering af kcal'!$J$2:$K$18,2,FALSE),"")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4"/>
        <v>0</v>
      </c>
      <c r="F86" s="171">
        <f t="shared" si="13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5216592.6341052745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7"/>
        <v>5216592.6341052745</v>
      </c>
      <c r="P86" s="94">
        <f t="shared" si="18"/>
        <v>0</v>
      </c>
      <c r="Q86" s="180">
        <f t="shared" si="19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0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1"/>
        <v>0</v>
      </c>
      <c r="Z86">
        <f t="shared" si="15"/>
        <v>0</v>
      </c>
      <c r="AA86">
        <f t="shared" si="16"/>
        <v>1</v>
      </c>
      <c r="AC86" s="94">
        <f t="shared" si="22"/>
        <v>5216592.6341052745</v>
      </c>
      <c r="AD86">
        <f>AC86*E86*10000*VLOOKUP(A86,[1]kcal!$A$2:$C$49,3,FALSE)/1000000000000</f>
        <v>0</v>
      </c>
    </row>
    <row r="87" spans="1:30" x14ac:dyDescent="0.25">
      <c r="A87" s="171" t="str">
        <f t="shared" si="11"/>
        <v>Raps</v>
      </c>
      <c r="B87" s="171" t="str">
        <f t="shared" si="12"/>
        <v/>
      </c>
      <c r="C87" s="171" t="str">
        <f>IFERROR(VLOOKUP(A87,'Kategorisering af kcal'!$J$2:$K$18,2,FALSE),"")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4"/>
        <v>0</v>
      </c>
      <c r="F87" s="171">
        <f t="shared" si="13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697432.39568518498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697432.39568518498</v>
      </c>
      <c r="O87" s="179">
        <f t="shared" si="17"/>
        <v>0</v>
      </c>
      <c r="P87" s="94">
        <f t="shared" si="18"/>
        <v>0</v>
      </c>
      <c r="Q87" s="180">
        <f t="shared" si="19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0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1"/>
        <v>0</v>
      </c>
      <c r="Z87">
        <f t="shared" si="15"/>
        <v>0</v>
      </c>
      <c r="AA87">
        <f t="shared" si="16"/>
        <v>0</v>
      </c>
      <c r="AC87" s="94">
        <f t="shared" si="22"/>
        <v>697432.39568518498</v>
      </c>
      <c r="AD87">
        <f>AC87*E87*10000*VLOOKUP(A87,[1]kcal!$A$2:$C$49,3,FALSE)/1000000000000</f>
        <v>0</v>
      </c>
    </row>
    <row r="88" spans="1:30" x14ac:dyDescent="0.25">
      <c r="A88" s="171" t="str">
        <f t="shared" si="11"/>
        <v>Rapskage</v>
      </c>
      <c r="B88" s="171" t="str">
        <f t="shared" si="12"/>
        <v/>
      </c>
      <c r="C88" s="171" t="str">
        <f>IFERROR(VLOOKUP(A88,'Kategorisering af kcal'!$J$2:$K$18,2,FALSE),"")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4"/>
        <v>0</v>
      </c>
      <c r="F88" s="171">
        <f t="shared" si="13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348716.19784259249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234335.4554353836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7"/>
        <v>114380.74240720889</v>
      </c>
      <c r="P88" s="94">
        <f t="shared" si="18"/>
        <v>0</v>
      </c>
      <c r="Q88" s="180">
        <f t="shared" si="19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0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1"/>
        <v>0</v>
      </c>
      <c r="Z88">
        <f t="shared" si="15"/>
        <v>0</v>
      </c>
      <c r="AA88">
        <f t="shared" si="16"/>
        <v>1</v>
      </c>
      <c r="AC88" s="94">
        <f t="shared" si="22"/>
        <v>114380.74240720889</v>
      </c>
      <c r="AD88">
        <f>AC88*E88*10000*VLOOKUP(A88,[1]kcal!$A$2:$C$49,3,FALSE)/1000000000000</f>
        <v>0</v>
      </c>
    </row>
    <row r="89" spans="1:30" x14ac:dyDescent="0.25">
      <c r="A89" s="171" t="str">
        <f t="shared" si="11"/>
        <v>Rapsolie</v>
      </c>
      <c r="B89" s="171" t="str">
        <f t="shared" si="12"/>
        <v>Rapsolie</v>
      </c>
      <c r="C89" s="171" t="str">
        <f>IFERROR(VLOOKUP(A89,'Kategorisering af kcal'!$J$2:$K$18,2,FALSE),"")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4"/>
        <v>1</v>
      </c>
      <c r="F89" s="171">
        <f t="shared" si="13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223178.36661925918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223178.36661925918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7"/>
        <v>0</v>
      </c>
      <c r="P89" s="94">
        <f t="shared" si="18"/>
        <v>0</v>
      </c>
      <c r="Q89" s="180">
        <f t="shared" si="19"/>
        <v>223178.36661925918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7.8112428316740701</v>
      </c>
      <c r="T89">
        <f>IFERROR(VLOOKUP(A89,[1]Biogasudbytte!$A$2:$B$18,2,FALSE)*[1]Energiindhold!$C$10,0)*K89*IFERROR(VLOOKUP(A89,Biogasanlæg!$F$3:$G$8,2,FALSE),1)</f>
        <v>0</v>
      </c>
      <c r="U89" s="170">
        <f t="shared" si="20"/>
        <v>7.8112428316740701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1"/>
        <v>0</v>
      </c>
      <c r="Z89">
        <f t="shared" si="15"/>
        <v>0</v>
      </c>
      <c r="AA89">
        <f t="shared" si="16"/>
        <v>0</v>
      </c>
      <c r="AC89" s="94">
        <f t="shared" si="22"/>
        <v>223178.36661925918</v>
      </c>
      <c r="AD89">
        <f>AC89*E89*10000*VLOOKUP(A89,[1]kcal!$A$2:$C$49,3,FALSE)/1000000000000</f>
        <v>2.0086052995733326</v>
      </c>
    </row>
    <row r="90" spans="1:30" x14ac:dyDescent="0.25">
      <c r="A90" s="171" t="str">
        <f t="shared" si="11"/>
        <v>Roer</v>
      </c>
      <c r="B90" s="171" t="str">
        <f t="shared" si="12"/>
        <v>Græs og urter</v>
      </c>
      <c r="C90" s="171" t="str">
        <f>IFERROR(VLOOKUP(A90,'Kategorisering af kcal'!$J$2:$K$18,2,FALSE),"")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4"/>
        <v>1</v>
      </c>
      <c r="F90" s="171">
        <f t="shared" si="13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2714678.0595324179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920673.60943023092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7"/>
        <v>1794004.450102187</v>
      </c>
      <c r="P90" s="94">
        <f t="shared" si="18"/>
        <v>1794004.450102187</v>
      </c>
      <c r="Q90" s="180">
        <f t="shared" si="19"/>
        <v>0</v>
      </c>
      <c r="R90">
        <f>IFERROR(VLOOKUP(A90,[1]Energiindhold!$A$2:$C$11,3,FALSE),IFERROR(VLOOKUP(A90,[1]Biogasudbytte!$A$2:$B$18,2,FALSE)*[1]Energiindhold!$C$10,0))*P90</f>
        <v>4.8689998377553394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4.8689998377553394</v>
      </c>
      <c r="T90">
        <f>IFERROR(VLOOKUP(A90,[1]Biogasudbytte!$A$2:$B$18,2,FALSE)*[1]Energiindhold!$C$10,0)*K90*IFERROR(VLOOKUP(A90,Biogasanlæg!$F$3:$G$8,2,FALSE),1)</f>
        <v>0</v>
      </c>
      <c r="U90" s="170">
        <f t="shared" si="20"/>
        <v>4.8689998377553394</v>
      </c>
      <c r="V90" s="169">
        <f>P90*IFERROR(VLOOKUP(A90,[1]Tørstofindhold!A$2:B$24,2,FALSE),0)</f>
        <v>358800.89002043742</v>
      </c>
      <c r="W90">
        <f>IF(F90=År1,Q90,SUM(P90,Q90))*IFERROR(VLOOKUP(A90,[1]Tørstofindhold!A$2:B$24,2,FALSE),0)</f>
        <v>358800.89002043742</v>
      </c>
      <c r="X90">
        <f>K90*IFERROR(VLOOKUP(A90,[1]Tørstofindhold!A$2:B$24,2,FALSE),0)</f>
        <v>0</v>
      </c>
      <c r="Y90" s="170">
        <f t="shared" si="21"/>
        <v>358800.89002043742</v>
      </c>
      <c r="Z90">
        <f t="shared" si="15"/>
        <v>0</v>
      </c>
      <c r="AA90">
        <f t="shared" si="16"/>
        <v>1</v>
      </c>
      <c r="AC90" s="94">
        <f t="shared" si="22"/>
        <v>1794004.450102187</v>
      </c>
      <c r="AD90">
        <f>AC90*E90*10000*VLOOKUP(A90,[1]kcal!$A$2:$C$49,3,FALSE)/1000000000000</f>
        <v>0.53820133503065604</v>
      </c>
    </row>
    <row r="91" spans="1:30" x14ac:dyDescent="0.25">
      <c r="A91" s="171" t="str">
        <f t="shared" si="11"/>
        <v>Slagteriaffald til andet</v>
      </c>
      <c r="B91" s="171" t="str">
        <f t="shared" si="12"/>
        <v/>
      </c>
      <c r="C91" s="171" t="str">
        <f>IFERROR(VLOOKUP(A91,'Kategorisering af kcal'!$J$2:$K$18,2,FALSE),"")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4"/>
        <v>0</v>
      </c>
      <c r="F91" s="171">
        <f t="shared" si="13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208732.58409629596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7"/>
        <v>208732.58409629596</v>
      </c>
      <c r="P91" s="94">
        <f t="shared" si="18"/>
        <v>0</v>
      </c>
      <c r="Q91" s="180">
        <f t="shared" si="19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0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1"/>
        <v>0</v>
      </c>
      <c r="Z91">
        <f t="shared" si="15"/>
        <v>0</v>
      </c>
      <c r="AA91">
        <f t="shared" si="16"/>
        <v>1</v>
      </c>
      <c r="AC91" s="94">
        <f t="shared" si="22"/>
        <v>208732.58409629596</v>
      </c>
      <c r="AD91">
        <f>AC91*E91*10000*VLOOKUP(A91,[1]kcal!$A$2:$C$49,3,FALSE)/1000000000000</f>
        <v>0</v>
      </c>
    </row>
    <row r="92" spans="1:30" x14ac:dyDescent="0.25">
      <c r="A92" s="171" t="str">
        <f t="shared" si="11"/>
        <v>Slagteriaffald til foder</v>
      </c>
      <c r="B92" s="171" t="str">
        <f t="shared" si="12"/>
        <v/>
      </c>
      <c r="C92" s="171" t="str">
        <f>IFERROR(VLOOKUP(A92,'Kategorisering af kcal'!$J$2:$K$18,2,FALSE),"")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4"/>
        <v>0</v>
      </c>
      <c r="F92" s="171">
        <f t="shared" si="13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142991.03668927489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43141.255393961845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7"/>
        <v>99849.781295313034</v>
      </c>
      <c r="P92" s="94">
        <f t="shared" si="18"/>
        <v>0</v>
      </c>
      <c r="Q92" s="180">
        <f t="shared" si="19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0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1"/>
        <v>0</v>
      </c>
      <c r="Z92">
        <f t="shared" si="15"/>
        <v>0</v>
      </c>
      <c r="AA92">
        <f t="shared" si="16"/>
        <v>1</v>
      </c>
      <c r="AC92" s="94">
        <f t="shared" si="22"/>
        <v>99849.781295313034</v>
      </c>
      <c r="AD92">
        <f>AC92*E92*10000*VLOOKUP(A92,[1]kcal!$A$2:$C$49,3,FALSE)/1000000000000</f>
        <v>0</v>
      </c>
    </row>
    <row r="93" spans="1:30" x14ac:dyDescent="0.25">
      <c r="A93" s="171" t="str">
        <f t="shared" si="11"/>
        <v>Spildevandsslam</v>
      </c>
      <c r="B93" s="171" t="str">
        <f t="shared" si="12"/>
        <v>Bionedbrydeligt affald</v>
      </c>
      <c r="C93" s="171" t="str">
        <f>IFERROR(VLOOKUP(A93,'Kategorisering af kcal'!$J$2:$K$18,2,FALSE),"")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4"/>
        <v>0</v>
      </c>
      <c r="F93" s="171">
        <f t="shared" si="13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7317965.0882689338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5488473.8162016999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7"/>
        <v>1829491.2720672339</v>
      </c>
      <c r="P93" s="94">
        <f t="shared" si="18"/>
        <v>1829491.2720672339</v>
      </c>
      <c r="Q93" s="180">
        <f t="shared" si="19"/>
        <v>5488473.8162016999</v>
      </c>
      <c r="R93">
        <f>IFERROR(VLOOKUP(A93,[1]Energiindhold!$A$2:$C$11,3,FALSE),IFERROR(VLOOKUP(A93,[1]Biogasudbytte!$A$2:$B$18,2,FALSE)*[1]Energiindhold!$C$10,0))*P93</f>
        <v>0.91293443967427057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3.6517377586970814</v>
      </c>
      <c r="T93">
        <f>IFERROR(VLOOKUP(A93,[1]Biogasudbytte!$A$2:$B$18,2,FALSE)*[1]Energiindhold!$C$10,0)*K93*IFERROR(VLOOKUP(A93,Biogasanlæg!$F$3:$G$8,2,FALSE),1)</f>
        <v>2.7388033190228107</v>
      </c>
      <c r="U93" s="170">
        <f t="shared" si="20"/>
        <v>0.91293443967427068</v>
      </c>
      <c r="V93" s="169">
        <f>P93*IFERROR(VLOOKUP(A93,[1]Tørstofindhold!A$2:B$24,2,FALSE),0)</f>
        <v>109769.47632403403</v>
      </c>
      <c r="W93">
        <f>IF(F93=År1,Q93,SUM(P93,Q93))*IFERROR(VLOOKUP(A93,[1]Tørstofindhold!A$2:B$24,2,FALSE),0)</f>
        <v>439077.90529613598</v>
      </c>
      <c r="X93">
        <f>K93*IFERROR(VLOOKUP(A93,[1]Tørstofindhold!A$2:B$24,2,FALSE),0)</f>
        <v>329308.428972102</v>
      </c>
      <c r="Y93" s="170">
        <f t="shared" si="21"/>
        <v>109769.47632403398</v>
      </c>
      <c r="Z93">
        <f t="shared" si="15"/>
        <v>0</v>
      </c>
      <c r="AA93">
        <f t="shared" si="16"/>
        <v>1</v>
      </c>
      <c r="AC93" s="94">
        <f t="shared" si="22"/>
        <v>1829491.2720672339</v>
      </c>
      <c r="AD93">
        <f>AC93*E93*10000*VLOOKUP(A93,[1]kcal!$A$2:$C$49,3,FALSE)/1000000000000</f>
        <v>0</v>
      </c>
    </row>
    <row r="94" spans="1:30" x14ac:dyDescent="0.25">
      <c r="A94" s="171" t="str">
        <f t="shared" si="11"/>
        <v>Svinegylle</v>
      </c>
      <c r="B94" s="171" t="str">
        <f t="shared" si="12"/>
        <v>Husdyrgødning</v>
      </c>
      <c r="C94" s="171" t="str">
        <f>IFERROR(VLOOKUP(A94,'Kategorisering af kcal'!$J$2:$K$18,2,FALSE),"")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4"/>
        <v>0</v>
      </c>
      <c r="F94" s="171">
        <f t="shared" si="13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16646712.165042747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12485034.123782061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4161678.0412606872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7"/>
        <v>0</v>
      </c>
      <c r="P94" s="94">
        <f t="shared" si="18"/>
        <v>0</v>
      </c>
      <c r="Q94" s="180">
        <f t="shared" si="19"/>
        <v>12485034.123782061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5.3785527005253124</v>
      </c>
      <c r="T94">
        <f>IFERROR(VLOOKUP(A94,[1]Biogasudbytte!$A$2:$B$18,2,FALSE)*[1]Energiindhold!$C$10,0)*K94*IFERROR(VLOOKUP(A94,Biogasanlæg!$F$3:$G$8,2,FALSE),1)</f>
        <v>5.3785527005253124</v>
      </c>
      <c r="U94" s="170">
        <f t="shared" si="20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624251.70618910308</v>
      </c>
      <c r="X94">
        <f>K94*IFERROR(VLOOKUP(A94,[1]Tørstofindhold!A$2:B$24,2,FALSE),0)</f>
        <v>624251.70618910308</v>
      </c>
      <c r="Y94" s="170">
        <f t="shared" si="21"/>
        <v>0</v>
      </c>
      <c r="Z94">
        <f t="shared" si="15"/>
        <v>0</v>
      </c>
      <c r="AA94">
        <f t="shared" si="16"/>
        <v>0</v>
      </c>
      <c r="AC94" s="94">
        <f t="shared" si="22"/>
        <v>0</v>
      </c>
      <c r="AD94">
        <f>AC94*E94*10000*VLOOKUP(A94,[1]kcal!$A$2:$C$49,3,FALSE)/1000000000000</f>
        <v>0</v>
      </c>
    </row>
    <row r="95" spans="1:30" x14ac:dyDescent="0.25">
      <c r="A95" s="171" t="str">
        <f t="shared" si="11"/>
        <v>Svinekød</v>
      </c>
      <c r="B95" s="171" t="str">
        <f t="shared" si="12"/>
        <v/>
      </c>
      <c r="C95" s="171" t="str">
        <f>IFERROR(VLOOKUP(A95,'Kategorisering af kcal'!$J$2:$K$18,2,FALSE),"")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4"/>
        <v>1</v>
      </c>
      <c r="F95" s="171">
        <f t="shared" si="13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1521700.8329200619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7"/>
        <v>1294298.8490218336</v>
      </c>
      <c r="P95" s="94">
        <f t="shared" si="18"/>
        <v>0</v>
      </c>
      <c r="Q95" s="180">
        <f t="shared" si="19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0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1"/>
        <v>0</v>
      </c>
      <c r="Z95">
        <f t="shared" si="15"/>
        <v>0</v>
      </c>
      <c r="AA95">
        <f t="shared" si="16"/>
        <v>1</v>
      </c>
      <c r="AC95" s="94">
        <f t="shared" si="22"/>
        <v>1521700.8329200619</v>
      </c>
      <c r="AD95">
        <f>AC95*E95*10000*VLOOKUP(A95,[1]kcal!$A$2:$C$49,3,FALSE)/1000000000000</f>
        <v>2.9673166241941207</v>
      </c>
    </row>
    <row r="96" spans="1:30" x14ac:dyDescent="0.25">
      <c r="A96" s="171" t="str">
        <f t="shared" si="11"/>
        <v>Tang</v>
      </c>
      <c r="B96" s="171" t="str">
        <f t="shared" si="12"/>
        <v>Havbiomasse</v>
      </c>
      <c r="C96" s="171" t="str">
        <f>IFERROR(VLOOKUP(A96,'Kategorisering af kcal'!$J$2:$K$18,2,FALSE),"")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4"/>
        <v>1</v>
      </c>
      <c r="F96" s="171">
        <f t="shared" si="13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382.5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7"/>
        <v>382.5</v>
      </c>
      <c r="P96" s="94">
        <f t="shared" si="18"/>
        <v>382.5</v>
      </c>
      <c r="Q96" s="180">
        <f t="shared" si="19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0"/>
        <v>3.4329375000000003E-4</v>
      </c>
      <c r="V96" s="169">
        <f>P96*IFERROR(VLOOKUP(A96,[1]Tørstofindhold!A$2:B$24,2,FALSE),0)</f>
        <v>57.375</v>
      </c>
      <c r="W96">
        <f>IF(F96=År1,Q96,SUM(P96,Q96))*IFERROR(VLOOKUP(A96,[1]Tørstofindhold!A$2:B$24,2,FALSE),0)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1"/>
        <v>57.375</v>
      </c>
      <c r="Z96">
        <f t="shared" si="15"/>
        <v>0</v>
      </c>
      <c r="AA96">
        <f t="shared" si="16"/>
        <v>1</v>
      </c>
      <c r="AC96" s="94">
        <f t="shared" si="22"/>
        <v>382.5</v>
      </c>
      <c r="AD96">
        <f>AC96*E96*10000*VLOOKUP(A96,[1]kcal!$A$2:$C$49,3,FALSE)/1000000000000</f>
        <v>1.5605999999999999E-4</v>
      </c>
    </row>
    <row r="97" spans="1:30" x14ac:dyDescent="0.25">
      <c r="A97" s="171" t="str">
        <f t="shared" si="11"/>
        <v>Total til biogas</v>
      </c>
      <c r="B97" s="171" t="str">
        <f t="shared" si="12"/>
        <v/>
      </c>
      <c r="C97" s="171" t="str">
        <f>IFERROR(VLOOKUP(A97,'Kategorisering af kcal'!$J$2:$K$18,2,FALSE),"")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4"/>
        <v>0</v>
      </c>
      <c r="F97" s="171">
        <f t="shared" si="13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7"/>
        <v>0</v>
      </c>
      <c r="P97" s="94">
        <f t="shared" si="18"/>
        <v>0</v>
      </c>
      <c r="Q97" s="180">
        <f t="shared" si="19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0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1"/>
        <v>0</v>
      </c>
      <c r="Z97">
        <f t="shared" si="15"/>
        <v>0</v>
      </c>
      <c r="AA97">
        <f t="shared" si="16"/>
        <v>0</v>
      </c>
      <c r="AC97" s="94">
        <f t="shared" si="22"/>
        <v>0</v>
      </c>
      <c r="AD97">
        <f>AC97*E97*10000*VLOOKUP(A97,[1]kcal!$A$2:$C$49,3,FALSE)/1000000000000</f>
        <v>0</v>
      </c>
    </row>
    <row r="98" spans="1:30" x14ac:dyDescent="0.25">
      <c r="A98" s="171" t="str">
        <f t="shared" si="11"/>
        <v>Træ til energi</v>
      </c>
      <c r="B98" s="171" t="str">
        <f t="shared" si="12"/>
        <v>Vedmasse</v>
      </c>
      <c r="C98" s="171" t="str">
        <f>IFERROR(VLOOKUP(A98,'Kategorisering af kcal'!$J$2:$K$18,2,FALSE),"")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4"/>
        <v>0</v>
      </c>
      <c r="F98" s="171">
        <f t="shared" si="13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2864790.7596825948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2864790.7596825948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7"/>
        <v>0</v>
      </c>
      <c r="P98" s="94">
        <f t="shared" ca="1" si="18"/>
        <v>0</v>
      </c>
      <c r="Q98" s="180">
        <f t="shared" ca="1" si="19"/>
        <v>2864790.7596825948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41.521042261764158</v>
      </c>
      <c r="T98">
        <f>IFERROR(VLOOKUP(A98,[1]Biogasudbytte!$A$2:$B$18,2,FALSE)*[1]Energiindhold!$C$10,0)*K98*IFERROR(VLOOKUP(A98,Biogasanlæg!$F$3:$G$8,2,FALSE),1)</f>
        <v>0</v>
      </c>
      <c r="U98" s="170">
        <f t="shared" ca="1" si="20"/>
        <v>41.521042261764158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1416877.7632263501</v>
      </c>
      <c r="X98">
        <f>K98*IFERROR(VLOOKUP(A98,[1]Tørstofindhold!A$2:B$24,2,FALSE),0)</f>
        <v>0</v>
      </c>
      <c r="Y98" s="170">
        <f t="shared" ca="1" si="21"/>
        <v>1416877.7632263501</v>
      </c>
      <c r="Z98">
        <f t="shared" ca="1" si="15"/>
        <v>0</v>
      </c>
      <c r="AA98">
        <f t="shared" ca="1" si="16"/>
        <v>0</v>
      </c>
      <c r="AC98" s="94">
        <f t="shared" ca="1" si="22"/>
        <v>2864790.7596825948</v>
      </c>
      <c r="AD98">
        <f ca="1">AC98*E98*10000*VLOOKUP(A98,[1]kcal!$A$2:$C$49,3,FALSE)/1000000000000</f>
        <v>0</v>
      </c>
    </row>
    <row r="99" spans="1:30" x14ac:dyDescent="0.25">
      <c r="A99" s="171" t="str">
        <f t="shared" si="11"/>
        <v>Træmaterialer</v>
      </c>
      <c r="B99" s="171" t="str">
        <f t="shared" si="12"/>
        <v/>
      </c>
      <c r="C99" s="171" t="str">
        <f>IFERROR(VLOOKUP(A99,'Kategorisering af kcal'!$J$2:$K$18,2,FALSE),"")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4"/>
        <v>0</v>
      </c>
      <c r="F99" s="171">
        <f t="shared" si="13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788679.64758670493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788679.64758670493</v>
      </c>
      <c r="O99" s="179">
        <f t="shared" ca="1" si="17"/>
        <v>0</v>
      </c>
      <c r="P99" s="94">
        <f t="shared" si="18"/>
        <v>0</v>
      </c>
      <c r="Q99" s="180">
        <f t="shared" si="19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0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1"/>
        <v>0</v>
      </c>
      <c r="Z99">
        <f t="shared" ca="1" si="15"/>
        <v>0</v>
      </c>
      <c r="AA99">
        <f t="shared" ca="1" si="16"/>
        <v>0</v>
      </c>
      <c r="AC99" s="94">
        <f t="shared" ca="1" si="22"/>
        <v>788679.64758670493</v>
      </c>
      <c r="AD99">
        <f ca="1">AC99*E99*10000*VLOOKUP(A99,[1]kcal!$A$2:$C$49,3,FALSE)/1000000000000</f>
        <v>0</v>
      </c>
    </row>
    <row r="100" spans="1:30" x14ac:dyDescent="0.25">
      <c r="A100" s="171" t="str">
        <f t="shared" si="11"/>
        <v>Æg</v>
      </c>
      <c r="B100" s="171" t="str">
        <f t="shared" si="12"/>
        <v/>
      </c>
      <c r="C100" s="171" t="str">
        <f>IFERROR(VLOOKUP(A100,'Kategorisering af kcal'!$J$2:$K$18,2,FALSE),"")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4"/>
        <v>1</v>
      </c>
      <c r="F100" s="171">
        <f t="shared" ref="F100:F147" si="23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225699.33858382018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7"/>
        <v>162317.3676772734</v>
      </c>
      <c r="P100" s="94">
        <f t="shared" si="18"/>
        <v>0</v>
      </c>
      <c r="Q100" s="180">
        <f t="shared" si="19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0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1"/>
        <v>0</v>
      </c>
      <c r="Z100">
        <f t="shared" ref="Z100:Z131" si="24">IF(SUMIFS($O$4:$O$147,$A$4:$A$147,A100,$F$4:$F$147,F100)&lt;0,1,0)</f>
        <v>0</v>
      </c>
      <c r="AA100">
        <f t="shared" ref="AA100:AA131" si="25">IF(SUMIFS($O$4:$O$147,$A$4:$A$147,A100,$F$4:$F$147,F100)&gt;0,1,0)</f>
        <v>1</v>
      </c>
      <c r="AC100" s="94">
        <f t="shared" si="22"/>
        <v>225699.33858382018</v>
      </c>
      <c r="AD100">
        <f>AC100*E100*10000*VLOOKUP(A100,[1]kcal!$A$2:$C$49,3,FALSE)/1000000000000</f>
        <v>0.3114650872456719</v>
      </c>
    </row>
    <row r="101" spans="1:30" x14ac:dyDescent="0.25">
      <c r="A101" s="171" t="str">
        <f t="shared" si="11"/>
        <v>Bælgsæd</v>
      </c>
      <c r="B101" s="171" t="str">
        <f t="shared" si="12"/>
        <v/>
      </c>
      <c r="C101" s="171" t="str">
        <f>IFERROR(VLOOKUP(A101,'Kategorisering af kcal'!$J$2:$K$18,2,FALSE),"")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4"/>
        <v>1</v>
      </c>
      <c r="F101" s="171">
        <f t="shared" si="23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278178.23040412681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67285.125780707793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7"/>
        <v>210893.104623419</v>
      </c>
      <c r="P101" s="94">
        <f t="shared" si="18"/>
        <v>0</v>
      </c>
      <c r="Q101" s="180">
        <f t="shared" si="19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0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1"/>
        <v>0</v>
      </c>
      <c r="Z101">
        <f t="shared" si="24"/>
        <v>0</v>
      </c>
      <c r="AA101">
        <f t="shared" si="25"/>
        <v>1</v>
      </c>
      <c r="AC101" s="94">
        <f t="shared" si="22"/>
        <v>210893.104623419</v>
      </c>
      <c r="AD101">
        <f>AC101*E101*10000*VLOOKUP(A101,[1]kcal!$A$2:$C$49,3,FALSE)/1000000000000</f>
        <v>1.464652611609645</v>
      </c>
    </row>
    <row r="102" spans="1:30" x14ac:dyDescent="0.25">
      <c r="A102" s="171" t="str">
        <f t="shared" si="11"/>
        <v>Bioaffald</v>
      </c>
      <c r="B102" s="171" t="str">
        <f t="shared" si="12"/>
        <v>Bionedbrydeligt affald</v>
      </c>
      <c r="C102" s="171" t="str">
        <f>IFERROR(VLOOKUP(A102,'Kategorisering af kcal'!$J$2:$K$18,2,FALSE),"")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4"/>
        <v>0</v>
      </c>
      <c r="F102" s="171">
        <f t="shared" si="23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7"/>
        <v>0</v>
      </c>
      <c r="P102" s="94">
        <f t="shared" ca="1" si="18"/>
        <v>0</v>
      </c>
      <c r="Q102" s="180">
        <f t="shared" ca="1" si="19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0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1"/>
        <v>103537.50823068788</v>
      </c>
      <c r="Z102">
        <f t="shared" ca="1" si="24"/>
        <v>0</v>
      </c>
      <c r="AA102">
        <f t="shared" ca="1" si="25"/>
        <v>0</v>
      </c>
      <c r="AC102" s="94">
        <f t="shared" ca="1" si="22"/>
        <v>369776.8151095995</v>
      </c>
      <c r="AD102">
        <f ca="1">AC102*E102*10000*VLOOKUP(A102,[1]kcal!$A$2:$C$49,3,FALSE)/1000000000000</f>
        <v>0</v>
      </c>
    </row>
    <row r="103" spans="1:30" x14ac:dyDescent="0.25">
      <c r="A103" s="171" t="str">
        <f t="shared" si="11"/>
        <v>Biogas</v>
      </c>
      <c r="B103" s="171" t="str">
        <f t="shared" si="12"/>
        <v/>
      </c>
      <c r="C103" s="171" t="str">
        <f>IFERROR(VLOOKUP(A103,'Kategorisering af kcal'!$J$2:$K$18,2,FALSE),"")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4"/>
        <v>0</v>
      </c>
      <c r="F103" s="171">
        <f t="shared" si="23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691433626.95155251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691433626.95155251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7"/>
        <v>0</v>
      </c>
      <c r="P103" s="94">
        <f t="shared" ca="1" si="18"/>
        <v>0</v>
      </c>
      <c r="Q103" s="180">
        <f t="shared" ca="1" si="19"/>
        <v>691433626.95155251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0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1"/>
        <v>0</v>
      </c>
      <c r="Z103">
        <f t="shared" ca="1" si="24"/>
        <v>0</v>
      </c>
      <c r="AA103">
        <f t="shared" ca="1" si="25"/>
        <v>0</v>
      </c>
      <c r="AC103" s="94">
        <f t="shared" ca="1" si="22"/>
        <v>691433626.95155251</v>
      </c>
      <c r="AD103">
        <f ca="1">AC103*E103*10000*VLOOKUP(A103,[1]kcal!$A$2:$C$49,3,FALSE)/1000000000000</f>
        <v>0</v>
      </c>
    </row>
    <row r="104" spans="1:30" x14ac:dyDescent="0.25">
      <c r="A104" s="171" t="str">
        <f t="shared" si="11"/>
        <v>Biogasgylle</v>
      </c>
      <c r="B104" s="171" t="str">
        <f t="shared" si="12"/>
        <v/>
      </c>
      <c r="C104" s="171" t="str">
        <f>IFERROR(VLOOKUP(A104,'Kategorisering af kcal'!$J$2:$K$18,2,FALSE),"")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4"/>
        <v>0</v>
      </c>
      <c r="F104" s="171">
        <f t="shared" si="23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33318090.389208868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26291745.297047496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7"/>
        <v>7026345.0921613723</v>
      </c>
      <c r="P104" s="94">
        <f t="shared" si="18"/>
        <v>0</v>
      </c>
      <c r="Q104" s="180">
        <f t="shared" si="19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0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1"/>
        <v>0</v>
      </c>
      <c r="Z104">
        <f t="shared" ca="1" si="24"/>
        <v>0</v>
      </c>
      <c r="AA104">
        <f t="shared" ca="1" si="25"/>
        <v>1</v>
      </c>
      <c r="AC104" s="94">
        <f t="shared" ca="1" si="22"/>
        <v>7026345.0921613723</v>
      </c>
      <c r="AD104">
        <f ca="1">AC104*E104*10000*VLOOKUP(A104,[1]kcal!$A$2:$C$49,3,FALSE)/1000000000000</f>
        <v>0</v>
      </c>
    </row>
    <row r="105" spans="1:30" x14ac:dyDescent="0.25">
      <c r="A105" s="171" t="str">
        <f t="shared" si="11"/>
        <v>Brun saft</v>
      </c>
      <c r="B105" s="171" t="str">
        <f t="shared" si="12"/>
        <v>Bionedbrydeligt affald</v>
      </c>
      <c r="C105" s="171" t="str">
        <f>IFERROR(VLOOKUP(A105,'Kategorisering af kcal'!$J$2:$K$18,2,FALSE),"")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4"/>
        <v>0</v>
      </c>
      <c r="F105" s="171">
        <f t="shared" si="23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0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0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7"/>
        <v>0</v>
      </c>
      <c r="P105" s="94">
        <f t="shared" si="18"/>
        <v>0</v>
      </c>
      <c r="Q105" s="180">
        <f t="shared" si="19"/>
        <v>0</v>
      </c>
      <c r="R105">
        <f>IFERROR(VLOOKUP(A105,[1]Energiindhold!$A$2:$C$11,3,FALSE),IFERROR(VLOOKUP(A105,[1]Biogasudbytte!$A$2:$B$18,2,FALSE)*[1]Energiindhold!$C$10,0))*P105</f>
        <v>0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0</v>
      </c>
      <c r="T105">
        <f>IFERROR(VLOOKUP(A105,[1]Biogasudbytte!$A$2:$B$18,2,FALSE)*[1]Energiindhold!$C$10,0)*K105*IFERROR(VLOOKUP(A105,Biogasanlæg!$F$3:$G$8,2,FALSE),1)</f>
        <v>0</v>
      </c>
      <c r="U105" s="170">
        <f t="shared" si="20"/>
        <v>0</v>
      </c>
      <c r="V105" s="169">
        <f>P105*IFERROR(VLOOKUP(A105,[1]Tørstofindhold!A$2:B$24,2,FALSE),0)</f>
        <v>0</v>
      </c>
      <c r="W105">
        <f>IF(F105=År1,Q105,SUM(P105,Q105))*IFERROR(VLOOKUP(A105,[1]Tørstofindhold!A$2:B$24,2,FALSE),0)</f>
        <v>0</v>
      </c>
      <c r="X105">
        <f>K105*IFERROR(VLOOKUP(A105,[1]Tørstofindhold!A$2:B$24,2,FALSE),0)</f>
        <v>0</v>
      </c>
      <c r="Y105" s="170">
        <f t="shared" si="21"/>
        <v>0</v>
      </c>
      <c r="Z105">
        <f t="shared" si="24"/>
        <v>0</v>
      </c>
      <c r="AA105">
        <f t="shared" si="25"/>
        <v>0</v>
      </c>
      <c r="AC105" s="94">
        <f t="shared" si="22"/>
        <v>0</v>
      </c>
      <c r="AD105">
        <f>AC105*E105*10000*VLOOKUP(A105,[1]kcal!$A$2:$C$49,3,FALSE)/1000000000000</f>
        <v>0</v>
      </c>
    </row>
    <row r="106" spans="1:30" x14ac:dyDescent="0.25">
      <c r="A106" s="171" t="str">
        <f t="shared" si="11"/>
        <v>Dybstrøelse</v>
      </c>
      <c r="B106" s="171" t="str">
        <f t="shared" si="12"/>
        <v>Husdyrgødning</v>
      </c>
      <c r="C106" s="171" t="str">
        <f>IFERROR(VLOOKUP(A106,'Kategorisering af kcal'!$J$2:$K$18,2,FALSE),"")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4"/>
        <v>0</v>
      </c>
      <c r="F106" s="171">
        <f t="shared" si="23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2879232.6979424451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2591309.4281482003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108999.52356496397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7"/>
        <v>178923.74622928072</v>
      </c>
      <c r="P106" s="94">
        <f t="shared" si="18"/>
        <v>178923.74622928072</v>
      </c>
      <c r="Q106" s="180">
        <f t="shared" si="19"/>
        <v>2591309.4281482003</v>
      </c>
      <c r="R106">
        <f>IFERROR(VLOOKUP(A106,[1]Energiindhold!$A$2:$C$11,3,FALSE),IFERROR(VLOOKUP(A106,[1]Biogasudbytte!$A$2:$B$18,2,FALSE)*[1]Energiindhold!$C$10,0))*P106</f>
        <v>0.38540174937787069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5.9670822576090945</v>
      </c>
      <c r="T106">
        <f>IFERROR(VLOOKUP(A106,[1]Biogasudbytte!$A$2:$B$18,2,FALSE)*[1]Energiindhold!$C$10,0)*K106*IFERROR(VLOOKUP(A106,Biogasanlæg!$F$3:$G$8,2,FALSE),1)</f>
        <v>5.5816805082312237</v>
      </c>
      <c r="U106" s="170">
        <f t="shared" si="20"/>
        <v>0.38540174937787075</v>
      </c>
      <c r="V106" s="169">
        <f>P106*IFERROR(VLOOKUP(A106,[1]Tørstofindhold!A$2:B$24,2,FALSE),0)</f>
        <v>53677.123868784212</v>
      </c>
      <c r="W106">
        <f>IF(F106=År1,Q106,SUM(P106,Q106))*IFERROR(VLOOKUP(A106,[1]Tørstofindhold!A$2:B$24,2,FALSE),0)</f>
        <v>831069.95231324423</v>
      </c>
      <c r="X106">
        <f>K106*IFERROR(VLOOKUP(A106,[1]Tørstofindhold!A$2:B$24,2,FALSE),0)</f>
        <v>777392.82844446006</v>
      </c>
      <c r="Y106" s="170">
        <f t="shared" si="21"/>
        <v>53677.123868784169</v>
      </c>
      <c r="Z106">
        <f t="shared" si="24"/>
        <v>0</v>
      </c>
      <c r="AA106">
        <f t="shared" si="25"/>
        <v>1</v>
      </c>
      <c r="AC106" s="94">
        <f t="shared" si="22"/>
        <v>178923.74622928072</v>
      </c>
      <c r="AD106">
        <f>AC106*E106*10000*VLOOKUP(A106,[1]kcal!$A$2:$C$49,3,FALSE)/1000000000000</f>
        <v>0</v>
      </c>
    </row>
    <row r="107" spans="1:30" x14ac:dyDescent="0.25">
      <c r="A107" s="171" t="str">
        <f t="shared" si="11"/>
        <v>Fiberfraktion</v>
      </c>
      <c r="B107" s="171" t="str">
        <f t="shared" si="12"/>
        <v/>
      </c>
      <c r="C107" s="171" t="str">
        <f>IFERROR(VLOOKUP(A107,'Kategorisering af kcal'!$J$2:$K$18,2,FALSE),"")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4"/>
        <v>0</v>
      </c>
      <c r="F107" s="171">
        <f t="shared" si="23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0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0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7"/>
        <v>0</v>
      </c>
      <c r="P107" s="94">
        <f t="shared" si="18"/>
        <v>0</v>
      </c>
      <c r="Q107" s="180">
        <f t="shared" si="19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0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1"/>
        <v>0</v>
      </c>
      <c r="Z107">
        <f t="shared" si="24"/>
        <v>0</v>
      </c>
      <c r="AA107">
        <f t="shared" si="25"/>
        <v>0</v>
      </c>
      <c r="AC107" s="94">
        <f t="shared" si="22"/>
        <v>0</v>
      </c>
      <c r="AD107">
        <f>AC107*E107*10000*VLOOKUP(A107,[1]kcal!$A$2:$C$49,3,FALSE)/1000000000000</f>
        <v>0</v>
      </c>
    </row>
    <row r="108" spans="1:30" x14ac:dyDescent="0.25">
      <c r="A108" s="171" t="str">
        <f t="shared" si="11"/>
        <v>Fjerkrægylle</v>
      </c>
      <c r="B108" s="171" t="str">
        <f t="shared" si="12"/>
        <v>Husdyrgødning</v>
      </c>
      <c r="C108" s="171" t="str">
        <f>IFERROR(VLOOKUP(A108,'Kategorisering af kcal'!$J$2:$K$18,2,FALSE),"")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4"/>
        <v>0</v>
      </c>
      <c r="F108" s="171">
        <f t="shared" si="23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9338.6301198509736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8404.7671078658768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933.86301198509727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7"/>
        <v>0</v>
      </c>
      <c r="P108" s="94">
        <f t="shared" si="18"/>
        <v>0</v>
      </c>
      <c r="Q108" s="180">
        <f t="shared" si="19"/>
        <v>8404.7671078658768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3.9526779231582434E-3</v>
      </c>
      <c r="T108">
        <f>IFERROR(VLOOKUP(A108,[1]Biogasudbytte!$A$2:$B$18,2,FALSE)*[1]Energiindhold!$C$10,0)*K108*IFERROR(VLOOKUP(A108,Biogasanlæg!$F$3:$G$8,2,FALSE),1)</f>
        <v>3.9526779231582434E-3</v>
      </c>
      <c r="U108" s="170">
        <f t="shared" si="20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529.50032779555022</v>
      </c>
      <c r="X108">
        <f>K108*IFERROR(VLOOKUP(A108,[1]Tørstofindhold!A$2:B$24,2,FALSE),0)</f>
        <v>529.50032779555022</v>
      </c>
      <c r="Y108" s="170">
        <f t="shared" si="21"/>
        <v>0</v>
      </c>
      <c r="Z108">
        <f t="shared" si="24"/>
        <v>0</v>
      </c>
      <c r="AA108">
        <f t="shared" si="25"/>
        <v>0</v>
      </c>
      <c r="AC108" s="94">
        <f t="shared" si="22"/>
        <v>0</v>
      </c>
      <c r="AD108">
        <f>AC108*E108*10000*VLOOKUP(A108,[1]kcal!$A$2:$C$49,3,FALSE)/1000000000000</f>
        <v>0</v>
      </c>
    </row>
    <row r="109" spans="1:30" x14ac:dyDescent="0.25">
      <c r="A109" s="171" t="str">
        <f t="shared" si="11"/>
        <v>Fjerkrækød</v>
      </c>
      <c r="B109" s="171" t="str">
        <f t="shared" si="12"/>
        <v/>
      </c>
      <c r="C109" s="171" t="str">
        <f>IFERROR(VLOOKUP(A109,'Kategorisering af kcal'!$J$2:$K$18,2,FALSE),"")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4"/>
        <v>1</v>
      </c>
      <c r="F109" s="171">
        <f t="shared" si="23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188233.86614274088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7"/>
        <v>119570.06432731521</v>
      </c>
      <c r="P109" s="94">
        <f t="shared" si="18"/>
        <v>0</v>
      </c>
      <c r="Q109" s="180">
        <f t="shared" si="19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0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1"/>
        <v>0</v>
      </c>
      <c r="Z109">
        <f t="shared" si="24"/>
        <v>0</v>
      </c>
      <c r="AA109">
        <f t="shared" si="25"/>
        <v>1</v>
      </c>
      <c r="AC109" s="94">
        <f t="shared" si="22"/>
        <v>188233.86614274088</v>
      </c>
      <c r="AD109">
        <f>AC109*E109*10000*VLOOKUP(A109,[1]kcal!$A$2:$C$49,3,FALSE)/1000000000000</f>
        <v>0.28611547653696612</v>
      </c>
    </row>
    <row r="110" spans="1:30" x14ac:dyDescent="0.25">
      <c r="A110" s="171" t="str">
        <f t="shared" si="11"/>
        <v>Frø</v>
      </c>
      <c r="B110" s="171" t="str">
        <f t="shared" si="12"/>
        <v/>
      </c>
      <c r="C110" s="171" t="str">
        <f>IFERROR(VLOOKUP(A110,'Kategorisering af kcal'!$J$2:$K$18,2,FALSE),"")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4"/>
        <v>0</v>
      </c>
      <c r="F110" s="171">
        <f t="shared" si="23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1433074.1712037951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7"/>
        <v>1433074.1712037951</v>
      </c>
      <c r="P110" s="94">
        <f t="shared" si="18"/>
        <v>0</v>
      </c>
      <c r="Q110" s="180">
        <f t="shared" si="19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0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1"/>
        <v>0</v>
      </c>
      <c r="Z110">
        <f t="shared" si="24"/>
        <v>0</v>
      </c>
      <c r="AA110">
        <f t="shared" si="25"/>
        <v>1</v>
      </c>
      <c r="AC110" s="94">
        <f t="shared" si="22"/>
        <v>1433074.1712037951</v>
      </c>
      <c r="AD110">
        <f>AC110*E110*10000*VLOOKUP(A110,[1]kcal!$A$2:$C$49,3,FALSE)/1000000000000</f>
        <v>0</v>
      </c>
    </row>
    <row r="111" spans="1:30" x14ac:dyDescent="0.25">
      <c r="A111" s="171" t="str">
        <f t="shared" si="11"/>
        <v>Frugt</v>
      </c>
      <c r="B111" s="171" t="str">
        <f t="shared" si="12"/>
        <v/>
      </c>
      <c r="C111" s="171" t="str">
        <f>IFERROR(VLOOKUP(A111,'Kategorisering af kcal'!$J$2:$K$18,2,FALSE),"")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4"/>
        <v>1</v>
      </c>
      <c r="F111" s="171">
        <f t="shared" si="23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41205.106350818656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7"/>
        <v>-460568.82999267662</v>
      </c>
      <c r="P111" s="94">
        <f t="shared" si="18"/>
        <v>0</v>
      </c>
      <c r="Q111" s="180">
        <f t="shared" si="19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0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1"/>
        <v>0</v>
      </c>
      <c r="Z111">
        <f t="shared" si="24"/>
        <v>1</v>
      </c>
      <c r="AA111">
        <f t="shared" si="25"/>
        <v>0</v>
      </c>
      <c r="AC111" s="94">
        <f t="shared" si="22"/>
        <v>41205.106350818656</v>
      </c>
      <c r="AD111">
        <f>AC111*E111*10000*VLOOKUP(A111,[1]kcal!$A$2:$C$49,3,FALSE)/1000000000000</f>
        <v>2.1426655302425702E-2</v>
      </c>
    </row>
    <row r="112" spans="1:30" x14ac:dyDescent="0.25">
      <c r="A112" s="171" t="str">
        <f t="shared" si="11"/>
        <v>Glycerin</v>
      </c>
      <c r="B112" s="171" t="str">
        <f t="shared" si="12"/>
        <v>Glycerin</v>
      </c>
      <c r="C112" s="171" t="str">
        <f>IFERROR(VLOOKUP(A112,'Kategorisering af kcal'!$J$2:$K$18,2,FALSE),"")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4"/>
        <v>0</v>
      </c>
      <c r="F112" s="171">
        <f t="shared" si="23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142742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7"/>
        <v>-142742</v>
      </c>
      <c r="P112" s="94">
        <f t="shared" si="18"/>
        <v>0</v>
      </c>
      <c r="Q112" s="180">
        <f t="shared" si="19"/>
        <v>142742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2.1694819870080004</v>
      </c>
      <c r="T112">
        <f>IFERROR(VLOOKUP(A112,[1]Biogasudbytte!$A$2:$B$18,2,FALSE)*[1]Energiindhold!$C$10,0)*K112*IFERROR(VLOOKUP(A112,Biogasanlæg!$F$3:$G$8,2,FALSE),1)</f>
        <v>2.1694819870080004</v>
      </c>
      <c r="U112" s="170">
        <f t="shared" si="20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128467.8</v>
      </c>
      <c r="X112">
        <f>K112*IFERROR(VLOOKUP(A112,[1]Tørstofindhold!A$2:B$24,2,FALSE),0)</f>
        <v>128467.8</v>
      </c>
      <c r="Y112" s="170">
        <f t="shared" si="21"/>
        <v>0</v>
      </c>
      <c r="Z112">
        <f t="shared" si="24"/>
        <v>1</v>
      </c>
      <c r="AA112">
        <f t="shared" si="25"/>
        <v>0</v>
      </c>
      <c r="AC112" s="94">
        <f t="shared" si="22"/>
        <v>-142742</v>
      </c>
      <c r="AD112">
        <f>AC112*E112*10000*VLOOKUP(A112,[1]kcal!$A$2:$C$49,3,FALSE)/1000000000000</f>
        <v>0</v>
      </c>
    </row>
    <row r="113" spans="1:30" x14ac:dyDescent="0.25">
      <c r="A113" s="171" t="str">
        <f t="shared" si="11"/>
        <v>Græs</v>
      </c>
      <c r="B113" s="171" t="str">
        <f t="shared" si="12"/>
        <v>Græs og urter</v>
      </c>
      <c r="C113" s="171" t="str">
        <f>IFERROR(VLOOKUP(A113,'Kategorisering af kcal'!$J$2:$K$18,2,FALSE),"")</f>
        <v/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4"/>
        <v>0</v>
      </c>
      <c r="F113" s="171">
        <f t="shared" si="23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15749174.280025551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12766418.101253457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0</v>
      </c>
      <c r="O113" s="179">
        <f t="shared" si="17"/>
        <v>2982756.1787720937</v>
      </c>
      <c r="P113" s="94">
        <f t="shared" si="18"/>
        <v>2982756.1787720937</v>
      </c>
      <c r="Q113" s="180">
        <f t="shared" si="19"/>
        <v>0</v>
      </c>
      <c r="R113">
        <f>IFERROR(VLOOKUP(A113,[1]Energiindhold!$A$2:$C$11,3,FALSE),IFERROR(VLOOKUP(A113,[1]Biogasudbytte!$A$2:$B$18,2,FALSE)*[1]Energiindhold!$C$10,0))*P113</f>
        <v>5.4878985244183065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5.4878985244183065</v>
      </c>
      <c r="T113">
        <f>IFERROR(VLOOKUP(A113,[1]Biogasudbytte!$A$2:$B$18,2,FALSE)*[1]Energiindhold!$C$10,0)*K113*IFERROR(VLOOKUP(A113,Biogasanlæg!$F$3:$G$8,2,FALSE),1)</f>
        <v>0</v>
      </c>
      <c r="U113" s="170">
        <f t="shared" si="20"/>
        <v>5.4878985244183065</v>
      </c>
      <c r="V113" s="169">
        <f>P113*IFERROR(VLOOKUP(A113,[1]Tørstofindhold!A$2:B$24,2,FALSE),0)</f>
        <v>835171.73005618632</v>
      </c>
      <c r="W113">
        <f>IF(F113=År1,Q113,SUM(P113,Q113))*IFERROR(VLOOKUP(A113,[1]Tørstofindhold!A$2:B$24,2,FALSE),0)</f>
        <v>835171.73005618632</v>
      </c>
      <c r="X113">
        <f>K113*IFERROR(VLOOKUP(A113,[1]Tørstofindhold!A$2:B$24,2,FALSE),0)</f>
        <v>0</v>
      </c>
      <c r="Y113" s="170">
        <f t="shared" si="21"/>
        <v>835171.73005618632</v>
      </c>
      <c r="Z113">
        <f t="shared" si="24"/>
        <v>0</v>
      </c>
      <c r="AA113">
        <f t="shared" si="25"/>
        <v>1</v>
      </c>
      <c r="AC113" s="94">
        <f t="shared" si="22"/>
        <v>2982756.1787720937</v>
      </c>
      <c r="AD113">
        <f>AC113*E113*10000*VLOOKUP(A113,[1]kcal!$A$2:$C$49,3,FALSE)/1000000000000</f>
        <v>0</v>
      </c>
    </row>
    <row r="114" spans="1:30" x14ac:dyDescent="0.25">
      <c r="A114" s="171" t="str">
        <f t="shared" si="11"/>
        <v>Græsprotein</v>
      </c>
      <c r="B114" s="171" t="str">
        <f t="shared" si="12"/>
        <v/>
      </c>
      <c r="C114" s="171" t="str">
        <f>IFERROR(VLOOKUP(A114,'Kategorisering af kcal'!$J$2:$K$18,2,FALSE),"")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4"/>
        <v>0</v>
      </c>
      <c r="F114" s="171">
        <f t="shared" si="23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0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0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7"/>
        <v>0</v>
      </c>
      <c r="P114" s="94">
        <f t="shared" si="18"/>
        <v>0</v>
      </c>
      <c r="Q114" s="180">
        <f t="shared" si="19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0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1"/>
        <v>0</v>
      </c>
      <c r="Z114">
        <f t="shared" si="24"/>
        <v>0</v>
      </c>
      <c r="AA114">
        <f t="shared" si="25"/>
        <v>0</v>
      </c>
      <c r="AC114" s="94">
        <f t="shared" si="22"/>
        <v>0</v>
      </c>
      <c r="AD114">
        <f>AC114*E114*10000*VLOOKUP(A114,[1]kcal!$A$2:$C$49,3,FALSE)/1000000000000</f>
        <v>0</v>
      </c>
    </row>
    <row r="115" spans="1:30" x14ac:dyDescent="0.25">
      <c r="A115" s="171" t="str">
        <f t="shared" si="11"/>
        <v>Grøntsager</v>
      </c>
      <c r="B115" s="171" t="str">
        <f t="shared" si="12"/>
        <v/>
      </c>
      <c r="C115" s="171" t="str">
        <f>IFERROR(VLOOKUP(A115,'Kategorisering af kcal'!$J$2:$K$18,2,FALSE),"")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4"/>
        <v>1</v>
      </c>
      <c r="F115" s="171">
        <f t="shared" si="23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283127.27105558576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7"/>
        <v>-242414.9043778645</v>
      </c>
      <c r="P115" s="94">
        <f t="shared" si="18"/>
        <v>0</v>
      </c>
      <c r="Q115" s="180">
        <f t="shared" si="19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0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1"/>
        <v>0</v>
      </c>
      <c r="Z115">
        <f t="shared" si="24"/>
        <v>1</v>
      </c>
      <c r="AA115">
        <f t="shared" si="25"/>
        <v>0</v>
      </c>
      <c r="AC115" s="94">
        <f t="shared" si="22"/>
        <v>283127.27105558576</v>
      </c>
      <c r="AD115">
        <f>AC115*E115*10000*VLOOKUP(A115,[1]kcal!$A$2:$C$49,3,FALSE)/1000000000000</f>
        <v>0.11041963571167845</v>
      </c>
    </row>
    <row r="116" spans="1:30" x14ac:dyDescent="0.25">
      <c r="A116" s="171" t="str">
        <f t="shared" ref="A116:A147" si="26">A68</f>
        <v>Halm</v>
      </c>
      <c r="B116" s="171" t="str">
        <f t="shared" ref="B116:B147" si="27">IF(B68&lt;&gt;"",B68,"")</f>
        <v>Halm og strå</v>
      </c>
      <c r="C116" s="171" t="str">
        <f>IFERROR(VLOOKUP(A116,'Kategorisering af kcal'!$J$2:$K$18,2,FALSE),"")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4"/>
        <v>0</v>
      </c>
      <c r="F116" s="171">
        <f t="shared" si="23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5496928.6729627736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806486.99373265042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747264.47265383892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3943177.206576285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7"/>
        <v>0</v>
      </c>
      <c r="P116" s="94">
        <f t="shared" si="18"/>
        <v>0</v>
      </c>
      <c r="Q116" s="180">
        <f t="shared" si="19"/>
        <v>3943177.206576285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40.755915968061302</v>
      </c>
      <c r="T116">
        <f>IFERROR(VLOOKUP(A116,[1]Biogasudbytte!$A$2:$B$18,2,FALSE)*[1]Energiindhold!$C$10,0)*K116*IFERROR(VLOOKUP(A116,Biogasanlæg!$F$3:$G$8,2,FALSE),1)</f>
        <v>0</v>
      </c>
      <c r="U116" s="170">
        <f t="shared" si="20"/>
        <v>40.755915968061302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3351700.625589842</v>
      </c>
      <c r="X116">
        <f>K116*IFERROR(VLOOKUP(A116,[1]Tørstofindhold!A$2:B$24,2,FALSE),0)</f>
        <v>0</v>
      </c>
      <c r="Y116" s="170">
        <f t="shared" si="21"/>
        <v>3351700.625589842</v>
      </c>
      <c r="Z116">
        <f t="shared" si="24"/>
        <v>0</v>
      </c>
      <c r="AA116">
        <f t="shared" si="25"/>
        <v>0</v>
      </c>
      <c r="AC116" s="94">
        <f t="shared" si="22"/>
        <v>3943177.206576284</v>
      </c>
      <c r="AD116">
        <f>AC116*E116*10000*VLOOKUP(A116,[1]kcal!$A$2:$C$49,3,FALSE)/1000000000000</f>
        <v>0</v>
      </c>
    </row>
    <row r="117" spans="1:30" x14ac:dyDescent="0.25">
      <c r="A117" s="171" t="str">
        <f t="shared" si="26"/>
        <v>Have/parkaffald</v>
      </c>
      <c r="B117" s="171" t="str">
        <f t="shared" si="27"/>
        <v>Bionedbrydeligt affald</v>
      </c>
      <c r="C117" s="171" t="str">
        <f>IFERROR(VLOOKUP(A117,'Kategorisering af kcal'!$J$2:$K$18,2,FALSE),"")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28">E69</f>
        <v>0</v>
      </c>
      <c r="F117" s="171">
        <f t="shared" si="23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980000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2808.9999999999418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7"/>
        <v>0</v>
      </c>
      <c r="P117" s="94">
        <f t="shared" si="18"/>
        <v>0</v>
      </c>
      <c r="Q117" s="180">
        <f t="shared" si="19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1.7142554874425717</v>
      </c>
      <c r="T117">
        <f>IFERROR(VLOOKUP(A117,[1]Biogasudbytte!$A$2:$B$18,2,FALSE)*[1]Energiindhold!$C$10,0)*K117*IFERROR(VLOOKUP(A117,Biogasanlæg!$F$3:$G$8,2,FALSE),1)</f>
        <v>1.6641086</v>
      </c>
      <c r="U117" s="170">
        <f t="shared" si="20"/>
        <v>5.0146887442571675E-2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294000</v>
      </c>
      <c r="Y117" s="170">
        <f t="shared" si="21"/>
        <v>842.70000000001164</v>
      </c>
      <c r="Z117">
        <f t="shared" si="24"/>
        <v>0</v>
      </c>
      <c r="AA117">
        <f t="shared" si="25"/>
        <v>0</v>
      </c>
      <c r="AC117" s="94">
        <f t="shared" si="22"/>
        <v>2809</v>
      </c>
      <c r="AD117">
        <f>AC117*E117*10000*VLOOKUP(A117,[1]kcal!$A$2:$C$49,3,FALSE)/1000000000000</f>
        <v>0</v>
      </c>
    </row>
    <row r="118" spans="1:30" x14ac:dyDescent="0.25">
      <c r="A118" s="171" t="str">
        <f t="shared" si="26"/>
        <v>Import af foder</v>
      </c>
      <c r="B118" s="171" t="str">
        <f t="shared" si="27"/>
        <v/>
      </c>
      <c r="C118" s="171" t="str">
        <f>IFERROR(VLOOKUP(A118,'Kategorisering af kcal'!$J$2:$K$18,2,FALSE),"")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28"/>
        <v>1</v>
      </c>
      <c r="F118" s="171">
        <f t="shared" si="23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5037039.2771946527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7"/>
        <v>-5037039.2771946527</v>
      </c>
      <c r="P118" s="94">
        <f t="shared" si="18"/>
        <v>0</v>
      </c>
      <c r="Q118" s="180">
        <f t="shared" si="19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0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1"/>
        <v>0</v>
      </c>
      <c r="Z118">
        <f t="shared" si="24"/>
        <v>1</v>
      </c>
      <c r="AA118">
        <f t="shared" si="25"/>
        <v>0</v>
      </c>
      <c r="AC118" s="94">
        <f t="shared" si="22"/>
        <v>-5037039.2771946527</v>
      </c>
      <c r="AD118">
        <f>AC118*E118*10000*VLOOKUP(A118,[1]kcal!$A$2:$C$49,3,FALSE)/1000000000000</f>
        <v>-2.8711123880009524</v>
      </c>
    </row>
    <row r="119" spans="1:30" x14ac:dyDescent="0.25">
      <c r="A119" s="171" t="str">
        <f t="shared" si="26"/>
        <v>Industriaffald</v>
      </c>
      <c r="B119" s="171" t="str">
        <f t="shared" si="27"/>
        <v>Bionedbrydeligt affald</v>
      </c>
      <c r="C119" s="171" t="str">
        <f>IFERROR(VLOOKUP(A119,'Kategorisering af kcal'!$J$2:$K$18,2,FALSE),"")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28"/>
        <v>0</v>
      </c>
      <c r="F119" s="171">
        <f t="shared" si="23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700822.02997791977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7"/>
        <v>700822.02997791977</v>
      </c>
      <c r="P119" s="94">
        <f t="shared" si="18"/>
        <v>700822.02997791977</v>
      </c>
      <c r="Q119" s="180">
        <f t="shared" si="19"/>
        <v>0</v>
      </c>
      <c r="R119">
        <f>IFERROR(VLOOKUP(A119,[1]Energiindhold!$A$2:$C$11,3,FALSE),IFERROR(VLOOKUP(A119,[1]Biogasudbytte!$A$2:$B$18,2,FALSE)*[1]Energiindhold!$C$10,0))*P119</f>
        <v>3.0367529627582237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3.0367529627582237</v>
      </c>
      <c r="T119">
        <f>IFERROR(VLOOKUP(A119,[1]Biogasudbytte!$A$2:$B$18,2,FALSE)*[1]Energiindhold!$C$10,0)*K119*IFERROR(VLOOKUP(A119,Biogasanlæg!$F$3:$G$8,2,FALSE),1)</f>
        <v>0</v>
      </c>
      <c r="U119" s="170">
        <f t="shared" si="20"/>
        <v>3.0367529627582237</v>
      </c>
      <c r="V119" s="169">
        <f>P119*IFERROR(VLOOKUP(A119,[1]Tørstofindhold!A$2:B$24,2,FALSE),0)</f>
        <v>294345.2525907263</v>
      </c>
      <c r="W119">
        <f>IF(F119=År1,Q119,SUM(P119,Q119))*IFERROR(VLOOKUP(A119,[1]Tørstofindhold!A$2:B$24,2,FALSE),0)</f>
        <v>294345.2525907263</v>
      </c>
      <c r="X119">
        <f>K119*IFERROR(VLOOKUP(A119,[1]Tørstofindhold!A$2:B$24,2,FALSE),0)</f>
        <v>0</v>
      </c>
      <c r="Y119" s="170">
        <f t="shared" si="21"/>
        <v>294345.2525907263</v>
      </c>
      <c r="Z119">
        <f t="shared" si="24"/>
        <v>0</v>
      </c>
      <c r="AA119">
        <f t="shared" si="25"/>
        <v>1</v>
      </c>
      <c r="AC119" s="94">
        <f t="shared" si="22"/>
        <v>700822.02997791977</v>
      </c>
      <c r="AD119">
        <f>AC119*E119*10000*VLOOKUP(A119,[1]kcal!$A$2:$C$49,3,FALSE)/1000000000000</f>
        <v>0</v>
      </c>
    </row>
    <row r="120" spans="1:30" x14ac:dyDescent="0.25">
      <c r="A120" s="171" t="str">
        <f t="shared" si="26"/>
        <v>Juletræer</v>
      </c>
      <c r="B120" s="171" t="str">
        <f t="shared" si="27"/>
        <v/>
      </c>
      <c r="C120" s="171" t="str">
        <f>IFERROR(VLOOKUP(A120,'Kategorisering af kcal'!$J$2:$K$18,2,FALSE),"")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28"/>
        <v>0</v>
      </c>
      <c r="F120" s="171">
        <f t="shared" si="23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886511.28127233672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7"/>
        <v>886511.28127233672</v>
      </c>
      <c r="P120" s="94">
        <f t="shared" si="18"/>
        <v>0</v>
      </c>
      <c r="Q120" s="180">
        <f t="shared" si="19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0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1"/>
        <v>0</v>
      </c>
      <c r="Z120">
        <f t="shared" si="24"/>
        <v>0</v>
      </c>
      <c r="AA120">
        <f t="shared" si="25"/>
        <v>1</v>
      </c>
      <c r="AC120" s="94">
        <f t="shared" si="22"/>
        <v>886511.28127233672</v>
      </c>
      <c r="AD120">
        <f>AC120*E120*10000*VLOOKUP(A120,[1]kcal!$A$2:$C$49,3,FALSE)/1000000000000</f>
        <v>0</v>
      </c>
    </row>
    <row r="121" spans="1:30" x14ac:dyDescent="0.25">
      <c r="A121" s="171" t="str">
        <f t="shared" si="26"/>
        <v>Kartofler</v>
      </c>
      <c r="B121" s="171" t="str">
        <f t="shared" si="27"/>
        <v/>
      </c>
      <c r="C121" s="171" t="str">
        <f>IFERROR(VLOOKUP(A121,'Kategorisering af kcal'!$J$2:$K$18,2,FALSE),"")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28"/>
        <v>1</v>
      </c>
      <c r="F121" s="171">
        <f t="shared" si="23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2153221.1823950112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7"/>
        <v>1912897.8760410212</v>
      </c>
      <c r="P121" s="94">
        <f t="shared" si="18"/>
        <v>0</v>
      </c>
      <c r="Q121" s="180">
        <f t="shared" si="19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0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1"/>
        <v>0</v>
      </c>
      <c r="Z121">
        <f t="shared" si="24"/>
        <v>0</v>
      </c>
      <c r="AA121">
        <f t="shared" si="25"/>
        <v>1</v>
      </c>
      <c r="AC121" s="94">
        <f t="shared" si="22"/>
        <v>2153221.1823950112</v>
      </c>
      <c r="AD121">
        <f>AC121*E121*10000*VLOOKUP(A121,[1]kcal!$A$2:$C$49,3,FALSE)/1000000000000</f>
        <v>1.6795125222681087</v>
      </c>
    </row>
    <row r="122" spans="1:30" x14ac:dyDescent="0.25">
      <c r="A122" s="171" t="str">
        <f t="shared" si="26"/>
        <v>Korn</v>
      </c>
      <c r="B122" s="171" t="str">
        <f t="shared" si="27"/>
        <v>Halm og strå</v>
      </c>
      <c r="C122" s="171" t="str">
        <f>IFERROR(VLOOKUP(A122,'Kategorisering af kcal'!$J$2:$K$18,2,FALSE),"")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28"/>
        <v>1</v>
      </c>
      <c r="F122" s="171">
        <f t="shared" si="23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9022837.0260440428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6133226.1180386841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7"/>
        <v>2313891.3389375592</v>
      </c>
      <c r="P122" s="94">
        <f t="shared" si="18"/>
        <v>2313891.3389375592</v>
      </c>
      <c r="Q122" s="180">
        <f t="shared" si="19"/>
        <v>0</v>
      </c>
      <c r="R122">
        <f>IFERROR(VLOOKUP(A122,[1]Energiindhold!$A$2:$C$11,3,FALSE),IFERROR(VLOOKUP(A122,[1]Biogasudbytte!$A$2:$B$18,2,FALSE)*[1]Energiindhold!$C$10,0))*P122</f>
        <v>7.9247538910736903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7.9247538910736903</v>
      </c>
      <c r="T122">
        <f>IFERROR(VLOOKUP(A122,[1]Biogasudbytte!$A$2:$B$18,2,FALSE)*[1]Energiindhold!$C$10,0)*K122*IFERROR(VLOOKUP(A122,Biogasanlæg!$F$3:$G$8,2,FALSE),1)</f>
        <v>0</v>
      </c>
      <c r="U122" s="170">
        <f t="shared" si="20"/>
        <v>7.9247538910736903</v>
      </c>
      <c r="V122" s="169">
        <f>P122*IFERROR(VLOOKUP(A122,[1]Tørstofindhold!A$2:B$24,2,FALSE),0)</f>
        <v>717306.31507064332</v>
      </c>
      <c r="W122">
        <f>IF(F122=År1,Q122,SUM(P122,Q122))*IFERROR(VLOOKUP(A122,[1]Tørstofindhold!A$2:B$24,2,FALSE),0)</f>
        <v>717306.31507064332</v>
      </c>
      <c r="X122">
        <f>K122*IFERROR(VLOOKUP(A122,[1]Tørstofindhold!A$2:B$24,2,FALSE),0)</f>
        <v>0</v>
      </c>
      <c r="Y122" s="170">
        <f t="shared" si="21"/>
        <v>717306.31507064332</v>
      </c>
      <c r="Z122">
        <f t="shared" si="24"/>
        <v>0</v>
      </c>
      <c r="AA122">
        <f t="shared" si="25"/>
        <v>1</v>
      </c>
      <c r="AC122" s="94">
        <f t="shared" si="22"/>
        <v>2889610.9080053587</v>
      </c>
      <c r="AD122">
        <f>AC122*E122*10000*VLOOKUP(A122,[1]kcal!$A$2:$C$49,3,FALSE)/1000000000000</f>
        <v>10.575975923299611</v>
      </c>
    </row>
    <row r="123" spans="1:30" x14ac:dyDescent="0.25">
      <c r="A123" s="171" t="str">
        <f t="shared" si="26"/>
        <v>Kunstgødning</v>
      </c>
      <c r="B123" s="171" t="str">
        <f t="shared" si="27"/>
        <v/>
      </c>
      <c r="C123" s="171" t="str">
        <f>IFERROR(VLOOKUP(A123,'Kategorisering af kcal'!$J$2:$K$18,2,FALSE),"")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28"/>
        <v>0</v>
      </c>
      <c r="F123" s="171">
        <f t="shared" si="23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764553.83032718813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7"/>
        <v>-764553.83032718813</v>
      </c>
      <c r="P123" s="94">
        <f t="shared" si="18"/>
        <v>0</v>
      </c>
      <c r="Q123" s="180">
        <f t="shared" si="19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0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1"/>
        <v>0</v>
      </c>
      <c r="Z123">
        <f t="shared" ca="1" si="24"/>
        <v>1</v>
      </c>
      <c r="AA123">
        <f t="shared" ca="1" si="25"/>
        <v>0</v>
      </c>
      <c r="AC123" s="94">
        <f t="shared" ca="1" si="22"/>
        <v>-764553.83032718813</v>
      </c>
      <c r="AD123">
        <f ca="1">AC123*E123*10000*VLOOKUP(A123,[1]kcal!$A$2:$C$49,3,FALSE)/1000000000000</f>
        <v>0</v>
      </c>
    </row>
    <row r="124" spans="1:30" x14ac:dyDescent="0.25">
      <c r="A124" s="171" t="str">
        <f t="shared" si="26"/>
        <v>Kvæggylle</v>
      </c>
      <c r="B124" s="171" t="str">
        <f t="shared" si="27"/>
        <v>Husdyrgødning</v>
      </c>
      <c r="C124" s="171" t="str">
        <f>IFERROR(VLOOKUP(A124,'Kategorisering af kcal'!$J$2:$K$18,2,FALSE),"")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28"/>
        <v>0</v>
      </c>
      <c r="F124" s="171">
        <f t="shared" si="23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13640562.909282314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12276506.618354084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1364056.2909282311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7"/>
        <v>0</v>
      </c>
      <c r="P124" s="94">
        <f t="shared" si="18"/>
        <v>0</v>
      </c>
      <c r="Q124" s="180">
        <f t="shared" si="19"/>
        <v>12276506.618354084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6.2142448851446543</v>
      </c>
      <c r="T124">
        <f>IFERROR(VLOOKUP(A124,[1]Biogasudbytte!$A$2:$B$18,2,FALSE)*[1]Energiindhold!$C$10,0)*K124*IFERROR(VLOOKUP(A124,Biogasanlæg!$F$3:$G$8,2,FALSE),1)</f>
        <v>6.2142448851446543</v>
      </c>
      <c r="U124" s="170">
        <f t="shared" si="20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933014.50299491035</v>
      </c>
      <c r="X124">
        <f>K124*IFERROR(VLOOKUP(A124,[1]Tørstofindhold!A$2:B$24,2,FALSE),0)</f>
        <v>933014.50299491035</v>
      </c>
      <c r="Y124" s="170">
        <f t="shared" si="21"/>
        <v>0</v>
      </c>
      <c r="Z124">
        <f t="shared" si="24"/>
        <v>0</v>
      </c>
      <c r="AA124">
        <f t="shared" si="25"/>
        <v>0</v>
      </c>
      <c r="AC124" s="94">
        <f t="shared" si="22"/>
        <v>0</v>
      </c>
      <c r="AD124">
        <f>AC124*E124*10000*VLOOKUP(A124,[1]kcal!$A$2:$C$49,3,FALSE)/1000000000000</f>
        <v>0</v>
      </c>
    </row>
    <row r="125" spans="1:30" x14ac:dyDescent="0.25">
      <c r="A125" s="171" t="str">
        <f t="shared" si="26"/>
        <v>Mælk til foder</v>
      </c>
      <c r="B125" s="171" t="str">
        <f t="shared" si="27"/>
        <v/>
      </c>
      <c r="C125" s="171" t="str">
        <f>IFERROR(VLOOKUP(A125,'Kategorisering af kcal'!$J$2:$K$18,2,FALSE),"")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28"/>
        <v>0</v>
      </c>
      <c r="F125" s="171">
        <f t="shared" si="23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1703953.9374414468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1581200.4558466333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7"/>
        <v>122753.48159481352</v>
      </c>
      <c r="P125" s="94">
        <f t="shared" si="18"/>
        <v>0</v>
      </c>
      <c r="Q125" s="180">
        <f t="shared" si="19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0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1"/>
        <v>0</v>
      </c>
      <c r="Z125">
        <f t="shared" si="24"/>
        <v>0</v>
      </c>
      <c r="AA125">
        <f t="shared" si="25"/>
        <v>1</v>
      </c>
      <c r="AC125" s="94">
        <f t="shared" si="22"/>
        <v>122753.48159481352</v>
      </c>
      <c r="AD125">
        <f>AC125*E125*10000*VLOOKUP(A125,[1]kcal!$A$2:$C$49,3,FALSE)/1000000000000</f>
        <v>0</v>
      </c>
    </row>
    <row r="126" spans="1:30" x14ac:dyDescent="0.25">
      <c r="A126" s="171" t="str">
        <f t="shared" si="26"/>
        <v>Majs</v>
      </c>
      <c r="B126" s="171" t="str">
        <f t="shared" si="27"/>
        <v>Græs og urter</v>
      </c>
      <c r="C126" s="171" t="str">
        <f>IFERROR(VLOOKUP(A126,'Kategorisering af kcal'!$J$2:$K$18,2,FALSE),"")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28"/>
        <v>1</v>
      </c>
      <c r="F126" s="171">
        <f t="shared" si="23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7865538.192860188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5901466.2403495796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7"/>
        <v>1964071.9525106084</v>
      </c>
      <c r="P126" s="94">
        <f t="shared" si="18"/>
        <v>1964071.9525106084</v>
      </c>
      <c r="Q126" s="180">
        <f t="shared" si="19"/>
        <v>0</v>
      </c>
      <c r="R126">
        <f>IFERROR(VLOOKUP(A126,[1]Energiindhold!$A$2:$C$11,3,FALSE),IFERROR(VLOOKUP(A126,[1]Biogasudbytte!$A$2:$B$18,2,FALSE)*[1]Energiindhold!$C$10,0))*P126</f>
        <v>7.0510183095130845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7.0510183095130845</v>
      </c>
      <c r="T126">
        <f>IFERROR(VLOOKUP(A126,[1]Biogasudbytte!$A$2:$B$18,2,FALSE)*[1]Energiindhold!$C$10,0)*K126*IFERROR(VLOOKUP(A126,Biogasanlæg!$F$3:$G$8,2,FALSE),1)</f>
        <v>0</v>
      </c>
      <c r="U126" s="170">
        <f t="shared" si="20"/>
        <v>7.0510183095130845</v>
      </c>
      <c r="V126" s="169">
        <f>P126*IFERROR(VLOOKUP(A126,[1]Tørstofindhold!A$2:B$24,2,FALSE),0)</f>
        <v>589221.58575318253</v>
      </c>
      <c r="W126">
        <f>IF(F126=År1,Q126,SUM(P126,Q126))*IFERROR(VLOOKUP(A126,[1]Tørstofindhold!A$2:B$24,2,FALSE),0)</f>
        <v>589221.58575318253</v>
      </c>
      <c r="X126">
        <f>K126*IFERROR(VLOOKUP(A126,[1]Tørstofindhold!A$2:B$24,2,FALSE),0)</f>
        <v>0</v>
      </c>
      <c r="Y126" s="170">
        <f t="shared" si="21"/>
        <v>589221.58575318253</v>
      </c>
      <c r="Z126">
        <f t="shared" si="24"/>
        <v>0</v>
      </c>
      <c r="AA126">
        <f t="shared" si="25"/>
        <v>1</v>
      </c>
      <c r="AC126" s="94">
        <f t="shared" si="22"/>
        <v>1964071.9525106084</v>
      </c>
      <c r="AD126">
        <f>AC126*E126*10000*VLOOKUP(A126,[1]kcal!$A$2:$C$49,3,FALSE)/1000000000000</f>
        <v>1.7873054767846535</v>
      </c>
    </row>
    <row r="127" spans="1:30" x14ac:dyDescent="0.25">
      <c r="A127" s="171" t="str">
        <f t="shared" si="26"/>
        <v>Mejeriprodukter</v>
      </c>
      <c r="B127" s="171" t="str">
        <f t="shared" si="27"/>
        <v/>
      </c>
      <c r="C127" s="171" t="str">
        <f>IFERROR(VLOOKUP(A127,'Kategorisering af kcal'!$J$2:$K$18,2,FALSE),"")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28"/>
        <v>1</v>
      </c>
      <c r="F127" s="171">
        <f t="shared" si="23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3287746.765328066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7"/>
        <v>2368708.187183138</v>
      </c>
      <c r="P127" s="94">
        <f t="shared" si="18"/>
        <v>0</v>
      </c>
      <c r="Q127" s="180">
        <f t="shared" si="19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0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1"/>
        <v>0</v>
      </c>
      <c r="Z127">
        <f t="shared" si="24"/>
        <v>0</v>
      </c>
      <c r="AA127">
        <f t="shared" si="25"/>
        <v>1</v>
      </c>
      <c r="AC127" s="94">
        <f t="shared" si="22"/>
        <v>3287746.765328066</v>
      </c>
      <c r="AD127">
        <f>AC127*E127*10000*VLOOKUP(A127,[1]kcal!$A$2:$C$49,3,FALSE)/1000000000000</f>
        <v>2.0712804621566816</v>
      </c>
    </row>
    <row r="128" spans="1:30" x14ac:dyDescent="0.25">
      <c r="A128" s="171" t="str">
        <f t="shared" si="26"/>
        <v>Muslinger</v>
      </c>
      <c r="B128" s="171" t="str">
        <f t="shared" si="27"/>
        <v>Havbiomasse</v>
      </c>
      <c r="C128" s="171" t="str">
        <f>IFERROR(VLOOKUP(A128,'Kategorisering af kcal'!$J$2:$K$18,2,FALSE),"")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28"/>
        <v>1</v>
      </c>
      <c r="F128" s="171">
        <f t="shared" si="23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7"/>
        <v>880.09999999999991</v>
      </c>
      <c r="P128" s="94">
        <f t="shared" si="18"/>
        <v>880.09999999999991</v>
      </c>
      <c r="Q128" s="180">
        <f t="shared" si="19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0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1"/>
        <v>132.01499999999999</v>
      </c>
      <c r="Z128">
        <f t="shared" si="24"/>
        <v>0</v>
      </c>
      <c r="AA128">
        <f t="shared" si="25"/>
        <v>1</v>
      </c>
      <c r="AC128" s="94">
        <f t="shared" si="22"/>
        <v>880.09999999999991</v>
      </c>
      <c r="AD128">
        <f>AC128*E128*10000*VLOOKUP(A128,[1]kcal!$A$2:$C$49,3,FALSE)/1000000000000</f>
        <v>7.3048299999999998E-4</v>
      </c>
    </row>
    <row r="129" spans="1:30" x14ac:dyDescent="0.25">
      <c r="A129" s="171" t="str">
        <f t="shared" si="26"/>
        <v>Oksekød</v>
      </c>
      <c r="B129" s="171" t="str">
        <f t="shared" si="27"/>
        <v/>
      </c>
      <c r="C129" s="171" t="str">
        <f>IFERROR(VLOOKUP(A129,'Kategorisering af kcal'!$J$2:$K$18,2,FALSE),"")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28"/>
        <v>1</v>
      </c>
      <c r="F129" s="171">
        <f t="shared" si="23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110093.6792842632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7"/>
        <v>-6687.6021110492293</v>
      </c>
      <c r="P129" s="94">
        <f t="shared" si="18"/>
        <v>0</v>
      </c>
      <c r="Q129" s="180">
        <f t="shared" si="19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0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1"/>
        <v>0</v>
      </c>
      <c r="Z129">
        <f t="shared" si="24"/>
        <v>1</v>
      </c>
      <c r="AA129">
        <f t="shared" si="25"/>
        <v>0</v>
      </c>
      <c r="AC129" s="94">
        <f t="shared" si="22"/>
        <v>110093.6792842632</v>
      </c>
      <c r="AD129">
        <f>AC129*E129*10000*VLOOKUP(A129,[1]kcal!$A$2:$C$49,3,FALSE)/1000000000000</f>
        <v>0.21468267460431326</v>
      </c>
    </row>
    <row r="130" spans="1:30" x14ac:dyDescent="0.25">
      <c r="A130" s="171" t="str">
        <f t="shared" si="26"/>
        <v>Øvrige</v>
      </c>
      <c r="B130" s="171" t="str">
        <f t="shared" si="27"/>
        <v/>
      </c>
      <c r="C130" s="171" t="str">
        <f>IFERROR(VLOOKUP(A130,'Kategorisering af kcal'!$J$2:$K$18,2,FALSE),"")</f>
        <v>Øvrige</v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28"/>
        <v>1</v>
      </c>
      <c r="F130" s="171">
        <f t="shared" si="23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1955120.5101390816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7"/>
        <v>1955120.5101390816</v>
      </c>
      <c r="P130" s="94">
        <f t="shared" si="18"/>
        <v>0</v>
      </c>
      <c r="Q130" s="180">
        <f t="shared" si="19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0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1"/>
        <v>0</v>
      </c>
      <c r="Z130">
        <f t="shared" si="24"/>
        <v>0</v>
      </c>
      <c r="AA130">
        <f t="shared" si="25"/>
        <v>1</v>
      </c>
      <c r="AC130" s="94">
        <f t="shared" si="22"/>
        <v>1955120.5101390816</v>
      </c>
      <c r="AD130">
        <f>AC130*E130*10000*VLOOKUP(A130,[1]kcal!$A$2:$C$49,3,FALSE)/1000000000000</f>
        <v>0.76249699895424183</v>
      </c>
    </row>
    <row r="131" spans="1:30" x14ac:dyDescent="0.25">
      <c r="A131" s="171" t="str">
        <f t="shared" si="26"/>
        <v>Pil &amp; poppel</v>
      </c>
      <c r="B131" s="171" t="str">
        <f t="shared" si="27"/>
        <v>Vedmasse</v>
      </c>
      <c r="C131" s="171" t="str">
        <f>IFERROR(VLOOKUP(A131,'Kategorisering af kcal'!$J$2:$K$18,2,FALSE),"")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28"/>
        <v>0</v>
      </c>
      <c r="F131" s="171">
        <f t="shared" si="23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183432.40969824954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183432.40969824954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7"/>
        <v>0</v>
      </c>
      <c r="P131" s="94">
        <f t="shared" si="18"/>
        <v>0</v>
      </c>
      <c r="Q131" s="180">
        <f t="shared" si="19"/>
        <v>183432.40969824954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3.3751563384477907</v>
      </c>
      <c r="T131">
        <f>IFERROR(VLOOKUP(A131,[1]Biogasudbytte!$A$2:$B$18,2,FALSE)*[1]Energiindhold!$C$10,0)*K131*IFERROR(VLOOKUP(A131,Biogasanlæg!$F$3:$G$8,2,FALSE),1)</f>
        <v>0</v>
      </c>
      <c r="U131" s="170">
        <f t="shared" si="20"/>
        <v>3.3751563384477907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76124.45002477357</v>
      </c>
      <c r="X131">
        <f>K131*IFERROR(VLOOKUP(A131,[1]Tørstofindhold!A$2:B$24,2,FALSE),0)</f>
        <v>0</v>
      </c>
      <c r="Y131" s="170">
        <f t="shared" si="21"/>
        <v>76124.45002477357</v>
      </c>
      <c r="Z131">
        <f t="shared" si="24"/>
        <v>0</v>
      </c>
      <c r="AA131">
        <f t="shared" si="25"/>
        <v>0</v>
      </c>
      <c r="AC131" s="94">
        <f t="shared" si="22"/>
        <v>183432.40969824954</v>
      </c>
      <c r="AD131">
        <f>AC131*E131*10000*VLOOKUP(A131,[1]kcal!$A$2:$C$49,3,FALSE)/1000000000000</f>
        <v>0</v>
      </c>
    </row>
    <row r="132" spans="1:30" x14ac:dyDescent="0.25">
      <c r="A132" s="171" t="str">
        <f t="shared" si="26"/>
        <v>Pyrolysegas</v>
      </c>
      <c r="B132" s="171" t="str">
        <f t="shared" si="27"/>
        <v>Pyrolyseprodukter</v>
      </c>
      <c r="C132" s="171" t="str">
        <f>IFERROR(VLOOKUP(A132,'Kategorisering af kcal'!$J$2:$K$18,2,FALSE),"")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28"/>
        <v>0</v>
      </c>
      <c r="F132" s="171">
        <f t="shared" si="23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7"/>
        <v>0</v>
      </c>
      <c r="P132" s="94">
        <f t="shared" si="18"/>
        <v>0</v>
      </c>
      <c r="Q132" s="180">
        <f t="shared" si="19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0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1"/>
        <v>0</v>
      </c>
      <c r="Z132">
        <f t="shared" ref="Z132:Z147" si="29">IF(SUMIFS($O$4:$O$147,$A$4:$A$147,A132,$F$4:$F$147,F132)&lt;0,1,0)</f>
        <v>0</v>
      </c>
      <c r="AA132">
        <f t="shared" ref="AA132:AA147" si="30">IF(SUMIFS($O$4:$O$147,$A$4:$A$147,A132,$F$4:$F$147,F132)&gt;0,1,0)</f>
        <v>0</v>
      </c>
      <c r="AC132" s="94">
        <f t="shared" si="22"/>
        <v>0</v>
      </c>
      <c r="AD132">
        <f>AC132*E132*10000*VLOOKUP(A132,[1]kcal!$A$2:$C$49,3,FALSE)/1000000000000</f>
        <v>0</v>
      </c>
    </row>
    <row r="133" spans="1:30" x14ac:dyDescent="0.25">
      <c r="A133" s="171" t="str">
        <f t="shared" si="26"/>
        <v>Pyrolyseolie</v>
      </c>
      <c r="B133" s="171" t="str">
        <f t="shared" si="27"/>
        <v>Pyrolyseprodukter</v>
      </c>
      <c r="C133" s="171" t="str">
        <f>IFERROR(VLOOKUP(A133,'Kategorisering af kcal'!$J$2:$K$18,2,FALSE),"")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28"/>
        <v>0</v>
      </c>
      <c r="F133" s="171">
        <f t="shared" si="23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7"/>
        <v>0</v>
      </c>
      <c r="P133" s="94">
        <f t="shared" ref="P133:P147" si="31">IF(D133=1,MAX(O133,0),0)</f>
        <v>0</v>
      </c>
      <c r="Q133" s="180">
        <f t="shared" si="19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0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1"/>
        <v>0</v>
      </c>
      <c r="Z133">
        <f t="shared" si="29"/>
        <v>0</v>
      </c>
      <c r="AA133">
        <f t="shared" si="30"/>
        <v>0</v>
      </c>
      <c r="AC133" s="94">
        <f t="shared" ref="AC133:AC147" si="32">G133-SUMPRODUCT($H$2:$N$2,H133:N133)</f>
        <v>0</v>
      </c>
      <c r="AD133">
        <f>AC133*E133*10000*VLOOKUP(A133,[1]kcal!$A$2:$C$49,3,FALSE)/1000000000000</f>
        <v>0</v>
      </c>
    </row>
    <row r="134" spans="1:30" x14ac:dyDescent="0.25">
      <c r="A134" s="171" t="str">
        <f t="shared" si="26"/>
        <v>Råmælk</v>
      </c>
      <c r="B134" s="171" t="str">
        <f t="shared" si="27"/>
        <v/>
      </c>
      <c r="C134" s="171" t="str">
        <f>IFERROR(VLOOKUP(A134,'Kategorisering af kcal'!$J$2:$K$18,2,FALSE),"")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28"/>
        <v>0</v>
      </c>
      <c r="F134" s="171">
        <f t="shared" si="23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5119693.0284815514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7"/>
        <v>5119693.0284815514</v>
      </c>
      <c r="P134" s="94">
        <f t="shared" si="31"/>
        <v>0</v>
      </c>
      <c r="Q134" s="180">
        <f t="shared" si="19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0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1"/>
        <v>0</v>
      </c>
      <c r="Z134">
        <f t="shared" si="29"/>
        <v>0</v>
      </c>
      <c r="AA134">
        <f t="shared" si="30"/>
        <v>1</v>
      </c>
      <c r="AC134" s="94">
        <f t="shared" si="32"/>
        <v>5119693.0284815514</v>
      </c>
      <c r="AD134">
        <f>AC134*E134*10000*VLOOKUP(A134,[1]kcal!$A$2:$C$49,3,FALSE)/1000000000000</f>
        <v>0</v>
      </c>
    </row>
    <row r="135" spans="1:30" x14ac:dyDescent="0.25">
      <c r="A135" s="171" t="str">
        <f t="shared" si="26"/>
        <v>Raps</v>
      </c>
      <c r="B135" s="171" t="str">
        <f t="shared" si="27"/>
        <v/>
      </c>
      <c r="C135" s="171" t="str">
        <f>IFERROR(VLOOKUP(A135,'Kategorisering af kcal'!$J$2:$K$18,2,FALSE),"")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28"/>
        <v>0</v>
      </c>
      <c r="F135" s="171">
        <f t="shared" si="23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672005.07849363028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672005.07849363028</v>
      </c>
      <c r="O135" s="179">
        <f t="shared" ref="O135:O147" si="33">G135-SUM(H135:N135)</f>
        <v>0</v>
      </c>
      <c r="P135" s="94">
        <f t="shared" si="31"/>
        <v>0</v>
      </c>
      <c r="Q135" s="180">
        <f t="shared" ref="Q135:Q147" si="34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5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6">W135-X135</f>
        <v>0</v>
      </c>
      <c r="Z135">
        <f t="shared" si="29"/>
        <v>0</v>
      </c>
      <c r="AA135">
        <f t="shared" si="30"/>
        <v>0</v>
      </c>
      <c r="AC135" s="94">
        <f t="shared" si="32"/>
        <v>672005.07849363028</v>
      </c>
      <c r="AD135">
        <f>AC135*E135*10000*VLOOKUP(A135,[1]kcal!$A$2:$C$49,3,FALSE)/1000000000000</f>
        <v>0</v>
      </c>
    </row>
    <row r="136" spans="1:30" x14ac:dyDescent="0.25">
      <c r="A136" s="171" t="str">
        <f t="shared" si="26"/>
        <v>Rapskage</v>
      </c>
      <c r="B136" s="171" t="str">
        <f t="shared" si="27"/>
        <v/>
      </c>
      <c r="C136" s="171" t="str">
        <f>IFERROR(VLOOKUP(A136,'Kategorisering af kcal'!$J$2:$K$18,2,FALSE),"")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28"/>
        <v>0</v>
      </c>
      <c r="F136" s="171">
        <f t="shared" si="23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336002.53924681514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223349.23696651615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3"/>
        <v>112653.30228029899</v>
      </c>
      <c r="P136" s="94">
        <f t="shared" si="31"/>
        <v>0</v>
      </c>
      <c r="Q136" s="180">
        <f t="shared" si="34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5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6"/>
        <v>0</v>
      </c>
      <c r="Z136">
        <f t="shared" si="29"/>
        <v>0</v>
      </c>
      <c r="AA136">
        <f t="shared" si="30"/>
        <v>1</v>
      </c>
      <c r="AC136" s="94">
        <f t="shared" si="32"/>
        <v>112653.30228029899</v>
      </c>
      <c r="AD136">
        <f>AC136*E136*10000*VLOOKUP(A136,[1]kcal!$A$2:$C$49,3,FALSE)/1000000000000</f>
        <v>0</v>
      </c>
    </row>
    <row r="137" spans="1:30" x14ac:dyDescent="0.25">
      <c r="A137" s="171" t="str">
        <f t="shared" si="26"/>
        <v>Rapsolie</v>
      </c>
      <c r="B137" s="171" t="str">
        <f t="shared" si="27"/>
        <v>Rapsolie</v>
      </c>
      <c r="C137" s="171" t="str">
        <f>IFERROR(VLOOKUP(A137,'Kategorisering af kcal'!$J$2:$K$18,2,FALSE),"")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28"/>
        <v>1</v>
      </c>
      <c r="F137" s="171">
        <f t="shared" si="23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215041.6251179617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215041.6251179617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3"/>
        <v>0</v>
      </c>
      <c r="P137" s="94">
        <f t="shared" si="31"/>
        <v>0</v>
      </c>
      <c r="Q137" s="180">
        <f t="shared" si="34"/>
        <v>215041.6251179617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7.5264568791286584</v>
      </c>
      <c r="T137">
        <f>IFERROR(VLOOKUP(A137,[1]Biogasudbytte!$A$2:$B$18,2,FALSE)*[1]Energiindhold!$C$10,0)*K137*IFERROR(VLOOKUP(A137,Biogasanlæg!$F$3:$G$8,2,FALSE),1)</f>
        <v>0</v>
      </c>
      <c r="U137" s="170">
        <f t="shared" si="35"/>
        <v>7.5264568791286584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6"/>
        <v>0</v>
      </c>
      <c r="Z137">
        <f t="shared" si="29"/>
        <v>0</v>
      </c>
      <c r="AA137">
        <f t="shared" si="30"/>
        <v>0</v>
      </c>
      <c r="AC137" s="94">
        <f t="shared" si="32"/>
        <v>215041.6251179617</v>
      </c>
      <c r="AD137">
        <f>AC137*E137*10000*VLOOKUP(A137,[1]kcal!$A$2:$C$49,3,FALSE)/1000000000000</f>
        <v>1.9353746260616553</v>
      </c>
    </row>
    <row r="138" spans="1:30" x14ac:dyDescent="0.25">
      <c r="A138" s="171" t="str">
        <f t="shared" si="26"/>
        <v>Roer</v>
      </c>
      <c r="B138" s="171" t="str">
        <f t="shared" si="27"/>
        <v>Græs og urter</v>
      </c>
      <c r="C138" s="171" t="str">
        <f>IFERROR(VLOOKUP(A138,'Kategorisering af kcal'!$J$2:$K$18,2,FALSE),"")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28"/>
        <v>1</v>
      </c>
      <c r="F138" s="171">
        <f t="shared" si="23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2708107.1992873591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877510.18205673085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3"/>
        <v>1830597.0172306283</v>
      </c>
      <c r="P138" s="94">
        <f t="shared" si="31"/>
        <v>1830597.0172306283</v>
      </c>
      <c r="Q138" s="180">
        <f t="shared" si="34"/>
        <v>0</v>
      </c>
      <c r="R138">
        <f>IFERROR(VLOOKUP(A138,[1]Energiindhold!$A$2:$C$11,3,FALSE),IFERROR(VLOOKUP(A138,[1]Biogasudbytte!$A$2:$B$18,2,FALSE)*[1]Energiindhold!$C$10,0))*P138</f>
        <v>4.9683135286446145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4.9683135286446145</v>
      </c>
      <c r="T138">
        <f>IFERROR(VLOOKUP(A138,[1]Biogasudbytte!$A$2:$B$18,2,FALSE)*[1]Energiindhold!$C$10,0)*K138*IFERROR(VLOOKUP(A138,Biogasanlæg!$F$3:$G$8,2,FALSE),1)</f>
        <v>0</v>
      </c>
      <c r="U138" s="170">
        <f t="shared" si="35"/>
        <v>4.9683135286446145</v>
      </c>
      <c r="V138" s="169">
        <f>P138*IFERROR(VLOOKUP(A138,[1]Tørstofindhold!A$2:B$24,2,FALSE),0)</f>
        <v>366119.40344612568</v>
      </c>
      <c r="W138">
        <f>IF(F138=År1,Q138,SUM(P138,Q138))*IFERROR(VLOOKUP(A138,[1]Tørstofindhold!A$2:B$24,2,FALSE),0)</f>
        <v>366119.40344612568</v>
      </c>
      <c r="X138">
        <f>K138*IFERROR(VLOOKUP(A138,[1]Tørstofindhold!A$2:B$24,2,FALSE),0)</f>
        <v>0</v>
      </c>
      <c r="Y138" s="170">
        <f t="shared" si="36"/>
        <v>366119.40344612568</v>
      </c>
      <c r="Z138">
        <f t="shared" si="29"/>
        <v>0</v>
      </c>
      <c r="AA138">
        <f t="shared" si="30"/>
        <v>1</v>
      </c>
      <c r="AC138" s="94">
        <f t="shared" si="32"/>
        <v>1830597.0172306283</v>
      </c>
      <c r="AD138">
        <f>AC138*E138*10000*VLOOKUP(A138,[1]kcal!$A$2:$C$49,3,FALSE)/1000000000000</f>
        <v>0.54917910516918844</v>
      </c>
    </row>
    <row r="139" spans="1:30" x14ac:dyDescent="0.25">
      <c r="A139" s="171" t="str">
        <f t="shared" si="26"/>
        <v>Slagteriaffald til andet</v>
      </c>
      <c r="B139" s="171" t="str">
        <f t="shared" si="27"/>
        <v/>
      </c>
      <c r="C139" s="171" t="str">
        <f>IFERROR(VLOOKUP(A139,'Kategorisering af kcal'!$J$2:$K$18,2,FALSE),"")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28"/>
        <v>0</v>
      </c>
      <c r="F139" s="171">
        <f t="shared" si="23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193960.34098460112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3"/>
        <v>193960.34098460112</v>
      </c>
      <c r="P139" s="94">
        <f t="shared" si="31"/>
        <v>0</v>
      </c>
      <c r="Q139" s="180">
        <f t="shared" si="34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5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6"/>
        <v>0</v>
      </c>
      <c r="Z139">
        <f t="shared" si="29"/>
        <v>0</v>
      </c>
      <c r="AA139">
        <f t="shared" si="30"/>
        <v>1</v>
      </c>
      <c r="AC139" s="94">
        <f t="shared" si="32"/>
        <v>193960.34098460112</v>
      </c>
      <c r="AD139">
        <f>AC139*E139*10000*VLOOKUP(A139,[1]kcal!$A$2:$C$49,3,FALSE)/1000000000000</f>
        <v>0</v>
      </c>
    </row>
    <row r="140" spans="1:30" x14ac:dyDescent="0.25">
      <c r="A140" s="171" t="str">
        <f t="shared" si="26"/>
        <v>Slagteriaffald til foder</v>
      </c>
      <c r="B140" s="171" t="str">
        <f t="shared" si="27"/>
        <v/>
      </c>
      <c r="C140" s="171" t="str">
        <f>IFERROR(VLOOKUP(A140,'Kategorisering af kcal'!$J$2:$K$18,2,FALSE),"")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28"/>
        <v>0</v>
      </c>
      <c r="F140" s="171">
        <f t="shared" si="23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130202.23351345368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41118.687977099209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3"/>
        <v>89083.545536354475</v>
      </c>
      <c r="P140" s="94">
        <f t="shared" si="31"/>
        <v>0</v>
      </c>
      <c r="Q140" s="180">
        <f t="shared" si="34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5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6"/>
        <v>0</v>
      </c>
      <c r="Z140">
        <f t="shared" si="29"/>
        <v>0</v>
      </c>
      <c r="AA140">
        <f t="shared" si="30"/>
        <v>1</v>
      </c>
      <c r="AC140" s="94">
        <f t="shared" si="32"/>
        <v>89083.545536354475</v>
      </c>
      <c r="AD140">
        <f>AC140*E140*10000*VLOOKUP(A140,[1]kcal!$A$2:$C$49,3,FALSE)/1000000000000</f>
        <v>0</v>
      </c>
    </row>
    <row r="141" spans="1:30" x14ac:dyDescent="0.25">
      <c r="A141" s="171" t="str">
        <f t="shared" si="26"/>
        <v>Spildevandsslam</v>
      </c>
      <c r="B141" s="171" t="str">
        <f t="shared" si="27"/>
        <v>Bionedbrydeligt affald</v>
      </c>
      <c r="C141" s="171" t="str">
        <f>IFERROR(VLOOKUP(A141,'Kategorisering af kcal'!$J$2:$K$18,2,FALSE),"")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28"/>
        <v>0</v>
      </c>
      <c r="F141" s="171">
        <f t="shared" si="23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7622114.0896216901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6859902.6806595214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3"/>
        <v>762211.40896216873</v>
      </c>
      <c r="P141" s="94">
        <f t="shared" si="31"/>
        <v>762211.40896216873</v>
      </c>
      <c r="Q141" s="180">
        <f t="shared" si="34"/>
        <v>6859902.6806595214</v>
      </c>
      <c r="R141">
        <f>IFERROR(VLOOKUP(A141,[1]Energiindhold!$A$2:$C$11,3,FALSE),IFERROR(VLOOKUP(A141,[1]Biogasudbytte!$A$2:$B$18,2,FALSE)*[1]Energiindhold!$C$10,0))*P141</f>
        <v>0.3803511151862119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3.8035111518621201</v>
      </c>
      <c r="T141">
        <f>IFERROR(VLOOKUP(A141,[1]Biogasudbytte!$A$2:$B$18,2,FALSE)*[1]Energiindhold!$C$10,0)*K141*IFERROR(VLOOKUP(A141,Biogasanlæg!$F$3:$G$8,2,FALSE),1)</f>
        <v>3.4231600366759083</v>
      </c>
      <c r="U141" s="170">
        <f t="shared" si="35"/>
        <v>0.38035111518621179</v>
      </c>
      <c r="V141" s="169">
        <f>P141*IFERROR(VLOOKUP(A141,[1]Tørstofindhold!A$2:B$24,2,FALSE),0)</f>
        <v>45732.684537730122</v>
      </c>
      <c r="W141">
        <f>IF(F141=År1,Q141,SUM(P141,Q141))*IFERROR(VLOOKUP(A141,[1]Tørstofindhold!A$2:B$24,2,FALSE),0)</f>
        <v>457326.84537730139</v>
      </c>
      <c r="X141">
        <f>K141*IFERROR(VLOOKUP(A141,[1]Tørstofindhold!A$2:B$24,2,FALSE),0)</f>
        <v>411594.16083957127</v>
      </c>
      <c r="Y141" s="170">
        <f t="shared" si="36"/>
        <v>45732.684537730122</v>
      </c>
      <c r="Z141">
        <f t="shared" si="29"/>
        <v>0</v>
      </c>
      <c r="AA141">
        <f t="shared" si="30"/>
        <v>1</v>
      </c>
      <c r="AC141" s="94">
        <f t="shared" si="32"/>
        <v>762211.40896216873</v>
      </c>
      <c r="AD141">
        <f>AC141*E141*10000*VLOOKUP(A141,[1]kcal!$A$2:$C$49,3,FALSE)/1000000000000</f>
        <v>0</v>
      </c>
    </row>
    <row r="142" spans="1:30" x14ac:dyDescent="0.25">
      <c r="A142" s="171" t="str">
        <f t="shared" si="26"/>
        <v>Svinegylle</v>
      </c>
      <c r="B142" s="171" t="str">
        <f t="shared" si="27"/>
        <v>Husdyrgødning</v>
      </c>
      <c r="C142" s="171" t="str">
        <f>IFERROR(VLOOKUP(A142,'Kategorisering af kcal'!$J$2:$K$18,2,FALSE),"")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28"/>
        <v>0</v>
      </c>
      <c r="F142" s="171">
        <f t="shared" si="23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14871140.28829515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13384026.259465635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1487114.0288295147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3"/>
        <v>0</v>
      </c>
      <c r="P142" s="94">
        <f t="shared" si="31"/>
        <v>0</v>
      </c>
      <c r="Q142" s="180">
        <f t="shared" si="34"/>
        <v>13384026.259465635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5.7658385125777967</v>
      </c>
      <c r="T142">
        <f>IFERROR(VLOOKUP(A142,[1]Biogasudbytte!$A$2:$B$18,2,FALSE)*[1]Energiindhold!$C$10,0)*K142*IFERROR(VLOOKUP(A142,Biogasanlæg!$F$3:$G$8,2,FALSE),1)</f>
        <v>5.7658385125777967</v>
      </c>
      <c r="U142" s="170">
        <f t="shared" si="35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669201.31297328183</v>
      </c>
      <c r="X142">
        <f>K142*IFERROR(VLOOKUP(A142,[1]Tørstofindhold!A$2:B$24,2,FALSE),0)</f>
        <v>669201.31297328183</v>
      </c>
      <c r="Y142" s="170">
        <f t="shared" si="36"/>
        <v>0</v>
      </c>
      <c r="Z142">
        <f t="shared" si="29"/>
        <v>0</v>
      </c>
      <c r="AA142">
        <f t="shared" si="30"/>
        <v>0</v>
      </c>
      <c r="AC142" s="94">
        <f t="shared" si="32"/>
        <v>0</v>
      </c>
      <c r="AD142">
        <f>AC142*E142*10000*VLOOKUP(A142,[1]kcal!$A$2:$C$49,3,FALSE)/1000000000000</f>
        <v>0</v>
      </c>
    </row>
    <row r="143" spans="1:30" x14ac:dyDescent="0.25">
      <c r="A143" s="171" t="str">
        <f t="shared" si="26"/>
        <v>Svinekød</v>
      </c>
      <c r="B143" s="171" t="str">
        <f t="shared" si="27"/>
        <v/>
      </c>
      <c r="C143" s="171" t="str">
        <f>IFERROR(VLOOKUP(A143,'Kategorisering af kcal'!$J$2:$K$18,2,FALSE),"")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28"/>
        <v>1</v>
      </c>
      <c r="F143" s="171">
        <f t="shared" si="23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1380901.3834271473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3"/>
        <v>1143799.9939275736</v>
      </c>
      <c r="P143" s="94">
        <f t="shared" si="31"/>
        <v>0</v>
      </c>
      <c r="Q143" s="180">
        <f t="shared" si="34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5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6"/>
        <v>0</v>
      </c>
      <c r="Z143">
        <f t="shared" si="29"/>
        <v>0</v>
      </c>
      <c r="AA143">
        <f t="shared" si="30"/>
        <v>1</v>
      </c>
      <c r="AC143" s="94">
        <f t="shared" si="32"/>
        <v>1380901.3834271473</v>
      </c>
      <c r="AD143">
        <f>AC143*E143*10000*VLOOKUP(A143,[1]kcal!$A$2:$C$49,3,FALSE)/1000000000000</f>
        <v>2.692757697682937</v>
      </c>
    </row>
    <row r="144" spans="1:30" x14ac:dyDescent="0.25">
      <c r="A144" s="171" t="str">
        <f t="shared" si="26"/>
        <v>Tang</v>
      </c>
      <c r="B144" s="171" t="str">
        <f t="shared" si="27"/>
        <v>Havbiomasse</v>
      </c>
      <c r="C144" s="171" t="str">
        <f>IFERROR(VLOOKUP(A144,'Kategorisering af kcal'!$J$2:$K$18,2,FALSE),"")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28"/>
        <v>1</v>
      </c>
      <c r="F144" s="171">
        <f t="shared" si="23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382.5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3"/>
        <v>382.5</v>
      </c>
      <c r="P144" s="94">
        <f t="shared" si="31"/>
        <v>382.5</v>
      </c>
      <c r="Q144" s="180">
        <f t="shared" si="34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35"/>
        <v>3.4329375000000003E-4</v>
      </c>
      <c r="V144" s="169">
        <f>P144*IFERROR(VLOOKUP(A144,[1]Tørstofindhold!A$2:B$24,2,FALSE),0)</f>
        <v>57.375</v>
      </c>
      <c r="W144">
        <f>IF(F144=År1,Q144,SUM(P144,Q144))*IFERROR(VLOOKUP(A144,[1]Tørstofindhold!A$2:B$24,2,FALSE),0)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36"/>
        <v>57.375</v>
      </c>
      <c r="Z144">
        <f t="shared" si="29"/>
        <v>0</v>
      </c>
      <c r="AA144">
        <f t="shared" si="30"/>
        <v>1</v>
      </c>
      <c r="AC144" s="94">
        <f t="shared" si="32"/>
        <v>382.5</v>
      </c>
      <c r="AD144">
        <f>AC144*E144*10000*VLOOKUP(A144,[1]kcal!$A$2:$C$49,3,FALSE)/1000000000000</f>
        <v>1.5605999999999999E-4</v>
      </c>
    </row>
    <row r="145" spans="1:30" x14ac:dyDescent="0.25">
      <c r="A145" s="171" t="str">
        <f t="shared" si="26"/>
        <v>Total til biogas</v>
      </c>
      <c r="B145" s="171" t="str">
        <f t="shared" si="27"/>
        <v/>
      </c>
      <c r="C145" s="171" t="str">
        <f>IFERROR(VLOOKUP(A145,'Kategorisering af kcal'!$J$2:$K$18,2,FALSE),"")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28"/>
        <v>0</v>
      </c>
      <c r="F145" s="171">
        <f t="shared" si="23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3"/>
        <v>0</v>
      </c>
      <c r="P145" s="94">
        <f t="shared" si="31"/>
        <v>0</v>
      </c>
      <c r="Q145" s="180">
        <f t="shared" si="34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5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6"/>
        <v>0</v>
      </c>
      <c r="Z145">
        <f t="shared" si="29"/>
        <v>0</v>
      </c>
      <c r="AA145">
        <f t="shared" si="30"/>
        <v>0</v>
      </c>
      <c r="AC145" s="94">
        <f t="shared" si="32"/>
        <v>0</v>
      </c>
      <c r="AD145">
        <f>AC145*E145*10000*VLOOKUP(A145,[1]kcal!$A$2:$C$49,3,FALSE)/1000000000000</f>
        <v>0</v>
      </c>
    </row>
    <row r="146" spans="1:30" x14ac:dyDescent="0.25">
      <c r="A146" s="171" t="str">
        <f t="shared" si="26"/>
        <v>Træ til energi</v>
      </c>
      <c r="B146" s="171" t="str">
        <f t="shared" si="27"/>
        <v>Vedmasse</v>
      </c>
      <c r="C146" s="171" t="str">
        <f>IFERROR(VLOOKUP(A146,'Kategorisering af kcal'!$J$2:$K$18,2,FALSE),"")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28"/>
        <v>0</v>
      </c>
      <c r="F146" s="171">
        <f t="shared" si="23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2925496.1196818841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2925496.1196818841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3"/>
        <v>0</v>
      </c>
      <c r="P146" s="94">
        <f t="shared" ca="1" si="31"/>
        <v>0</v>
      </c>
      <c r="Q146" s="180">
        <f t="shared" ca="1" si="34"/>
        <v>2925496.1196818841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42.400879579560225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5"/>
        <v>42.400879579560225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1446901.6225259984</v>
      </c>
      <c r="X146">
        <f>K146*IFERROR(VLOOKUP(A146,[1]Tørstofindhold!A$2:B$24,2,FALSE),0)</f>
        <v>0</v>
      </c>
      <c r="Y146" s="170">
        <f t="shared" ca="1" si="36"/>
        <v>1446901.6225259984</v>
      </c>
      <c r="Z146">
        <f t="shared" ca="1" si="29"/>
        <v>0</v>
      </c>
      <c r="AA146">
        <f t="shared" ca="1" si="30"/>
        <v>0</v>
      </c>
      <c r="AC146" s="94">
        <f t="shared" ca="1" si="32"/>
        <v>2925496.1196818841</v>
      </c>
      <c r="AD146">
        <f ca="1">AC146*E146*10000*VLOOKUP(A146,[1]kcal!$A$2:$C$49,3,FALSE)/1000000000000</f>
        <v>0</v>
      </c>
    </row>
    <row r="147" spans="1:30" x14ac:dyDescent="0.25">
      <c r="A147" s="171" t="str">
        <f t="shared" si="26"/>
        <v>Træmaterialer</v>
      </c>
      <c r="B147" s="171" t="str">
        <f t="shared" si="27"/>
        <v/>
      </c>
      <c r="C147" s="171" t="str">
        <f>IFERROR(VLOOKUP(A147,'Kategorisering af kcal'!$J$2:$K$18,2,FALSE),"")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28"/>
        <v>0</v>
      </c>
      <c r="F147" s="171">
        <f t="shared" si="23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840705.04818703001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840705.04818703001</v>
      </c>
      <c r="O147" s="179">
        <f t="shared" ca="1" si="33"/>
        <v>0</v>
      </c>
      <c r="P147" s="94">
        <f t="shared" si="31"/>
        <v>0</v>
      </c>
      <c r="Q147" s="180">
        <f t="shared" si="34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5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6"/>
        <v>0</v>
      </c>
      <c r="Z147">
        <f t="shared" ca="1" si="29"/>
        <v>0</v>
      </c>
      <c r="AA147">
        <f t="shared" ca="1" si="30"/>
        <v>0</v>
      </c>
      <c r="AC147" s="94">
        <f t="shared" ca="1" si="32"/>
        <v>840705.04818703001</v>
      </c>
      <c r="AD147">
        <f ca="1">AC147*E147*10000*VLOOKUP(A147,[1]kcal!$A$2:$C$49,3,FALSE)/1000000000000</f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dimension ref="A1:T30"/>
  <sheetViews>
    <sheetView tabSelected="1" workbookViewId="0">
      <selection activeCell="B15" sqref="B15:D15"/>
    </sheetView>
  </sheetViews>
  <sheetFormatPr defaultRowHeight="15" x14ac:dyDescent="0.25"/>
  <cols>
    <col min="16" max="16" width="22.7109375" bestFit="1" customWidth="1"/>
    <col min="17" max="17" width="16.42578125" bestFit="1" customWidth="1"/>
  </cols>
  <sheetData>
    <row r="1" spans="1:20" x14ac:dyDescent="0.25">
      <c r="B1" t="s">
        <v>372</v>
      </c>
      <c r="J1" t="s">
        <v>370</v>
      </c>
      <c r="K1" t="s">
        <v>371</v>
      </c>
      <c r="O1" s="404" t="s">
        <v>376</v>
      </c>
      <c r="Q1" t="s">
        <v>374</v>
      </c>
      <c r="R1" t="s">
        <v>372</v>
      </c>
      <c r="S1" t="s">
        <v>377</v>
      </c>
      <c r="T1" t="s">
        <v>375</v>
      </c>
    </row>
    <row r="2" spans="1:20" x14ac:dyDescent="0.25">
      <c r="B2">
        <v>2019</v>
      </c>
      <c r="C2">
        <v>2050</v>
      </c>
      <c r="D2" t="s">
        <v>367</v>
      </c>
      <c r="E2" t="s">
        <v>373</v>
      </c>
      <c r="J2" s="171" t="s">
        <v>15</v>
      </c>
      <c r="K2" t="s">
        <v>15</v>
      </c>
      <c r="O2" t="s">
        <v>48</v>
      </c>
      <c r="P2" t="s">
        <v>343</v>
      </c>
      <c r="Q2" s="94">
        <v>5231636613147</v>
      </c>
      <c r="R2">
        <f>Q2/1000000000000</f>
        <v>5.2316366131469998</v>
      </c>
      <c r="S2">
        <v>8817</v>
      </c>
      <c r="T2">
        <f>S2*1000</f>
        <v>8817000</v>
      </c>
    </row>
    <row r="3" spans="1:20" x14ac:dyDescent="0.25">
      <c r="A3" t="s">
        <v>15</v>
      </c>
      <c r="B3">
        <f>SUMIFS('Produktion &amp; forbrug'!$AD$4:$AD$147,'Produktion &amp; forbrug'!$C$4:$C$147,$A3,'Produktion &amp; forbrug'!$F$4:$F$147,B$2)</f>
        <v>0.32429999999999998</v>
      </c>
      <c r="C3">
        <f>SUMIFS('Produktion &amp; forbrug'!$AD$4:$AD$147,'Produktion &amp; forbrug'!$C$4:$C$147,$A3,'Produktion &amp; forbrug'!$F$4:$F$147,C$2)</f>
        <v>0.3114650872456719</v>
      </c>
      <c r="D3" s="445">
        <f>SUMIFS($R$2:$R$22,$O$2:$O$22,A3)</f>
        <v>9.7142426071000001E-2</v>
      </c>
      <c r="E3">
        <f>B3-D3</f>
        <v>0.22715757392899999</v>
      </c>
      <c r="J3" s="171" t="s">
        <v>49</v>
      </c>
      <c r="K3" t="s">
        <v>49</v>
      </c>
      <c r="O3" t="s">
        <v>12</v>
      </c>
      <c r="P3" t="s">
        <v>344</v>
      </c>
      <c r="Q3" s="94">
        <v>260376167034</v>
      </c>
      <c r="R3">
        <f t="shared" ref="R3:R22" si="0">Q3/1000000000000</f>
        <v>0.26037616703400002</v>
      </c>
      <c r="S3">
        <v>1358</v>
      </c>
      <c r="T3">
        <f t="shared" ref="T3:T22" si="1">S3*1000</f>
        <v>1358000</v>
      </c>
    </row>
    <row r="4" spans="1:20" x14ac:dyDescent="0.25">
      <c r="A4" t="s">
        <v>49</v>
      </c>
      <c r="B4">
        <f>SUMIFS('Produktion &amp; forbrug'!$AD$4:$AD$147,'Produktion &amp; forbrug'!$C$4:$C$147,$A4,'Produktion &amp; forbrug'!$F$4:$F$147,B$2)</f>
        <v>1.4789708396899257</v>
      </c>
      <c r="C4">
        <f>SUMIFS('Produktion &amp; forbrug'!$AD$4:$AD$147,'Produktion &amp; forbrug'!$C$4:$C$147,$A4,'Produktion &amp; forbrug'!$F$4:$F$147,C$2)</f>
        <v>1.464652611609645</v>
      </c>
      <c r="D4" s="445">
        <f t="shared" ref="D4:D14" si="2">SUMIFS($R$2:$R$22,$O$2:$O$22,A4)</f>
        <v>5.0694444444000002E-2</v>
      </c>
      <c r="E4">
        <f t="shared" ref="E4:E14" si="3">B4-D4</f>
        <v>1.4282763952459256</v>
      </c>
      <c r="J4" t="s">
        <v>96</v>
      </c>
      <c r="K4" t="s">
        <v>341</v>
      </c>
      <c r="O4" t="s">
        <v>52</v>
      </c>
      <c r="P4" t="s">
        <v>345</v>
      </c>
      <c r="Q4" s="94">
        <v>-251146789</v>
      </c>
      <c r="R4">
        <f t="shared" si="0"/>
        <v>-2.5114678899999999E-4</v>
      </c>
      <c r="S4">
        <v>2409</v>
      </c>
      <c r="T4">
        <f t="shared" si="1"/>
        <v>2409000</v>
      </c>
    </row>
    <row r="5" spans="1:20" x14ac:dyDescent="0.25">
      <c r="A5" t="s">
        <v>341</v>
      </c>
      <c r="B5">
        <f>SUMIFS('Produktion &amp; forbrug'!$AD$4:$AD$147,'Produktion &amp; forbrug'!$C$4:$C$147,$A5,'Produktion &amp; forbrug'!$F$4:$F$147,B$2)</f>
        <v>3.654108115551467</v>
      </c>
      <c r="C5">
        <f>SUMIFS('Produktion &amp; forbrug'!$AD$4:$AD$147,'Produktion &amp; forbrug'!$C$4:$C$147,$A5,'Produktion &amp; forbrug'!$F$4:$F$147,C$2)</f>
        <v>3.1935558488242162</v>
      </c>
      <c r="D5" s="445">
        <f t="shared" si="2"/>
        <v>3.6517976461030002</v>
      </c>
      <c r="E5">
        <f t="shared" si="3"/>
        <v>2.3104694484668009E-3</v>
      </c>
      <c r="J5" t="s">
        <v>54</v>
      </c>
      <c r="K5" t="s">
        <v>54</v>
      </c>
      <c r="O5" t="s">
        <v>52</v>
      </c>
      <c r="P5" t="s">
        <v>346</v>
      </c>
      <c r="Q5" s="94">
        <v>1421949701937</v>
      </c>
      <c r="R5">
        <f t="shared" si="0"/>
        <v>1.421949701937</v>
      </c>
      <c r="S5">
        <v>476</v>
      </c>
      <c r="T5">
        <f t="shared" si="1"/>
        <v>476000</v>
      </c>
    </row>
    <row r="6" spans="1:20" x14ac:dyDescent="0.25">
      <c r="A6" t="s">
        <v>54</v>
      </c>
      <c r="B6">
        <f>SUMIFS('Produktion &amp; forbrug'!$AD$4:$AD$147,'Produktion &amp; forbrug'!$C$4:$C$147,$A6,'Produktion &amp; forbrug'!$F$4:$F$147,B$2)</f>
        <v>2.1699053488951431E-2</v>
      </c>
      <c r="C6">
        <f>SUMIFS('Produktion &amp; forbrug'!$AD$4:$AD$147,'Produktion &amp; forbrug'!$C$4:$C$147,$A6,'Produktion &amp; forbrug'!$F$4:$F$147,C$2)</f>
        <v>2.1426655302425702E-2</v>
      </c>
      <c r="D6" s="445">
        <f t="shared" si="2"/>
        <v>1.6267328699000001E-2</v>
      </c>
      <c r="E6">
        <f t="shared" si="3"/>
        <v>5.4317247899514295E-3</v>
      </c>
      <c r="J6" s="171" t="s">
        <v>6</v>
      </c>
      <c r="K6" t="s">
        <v>6</v>
      </c>
      <c r="O6" t="s">
        <v>49</v>
      </c>
      <c r="P6" t="s">
        <v>347</v>
      </c>
      <c r="Q6" s="94">
        <v>50694444444</v>
      </c>
      <c r="R6">
        <f t="shared" si="0"/>
        <v>5.0694444444000002E-2</v>
      </c>
      <c r="S6">
        <v>34</v>
      </c>
      <c r="T6">
        <f t="shared" si="1"/>
        <v>34000</v>
      </c>
    </row>
    <row r="7" spans="1:20" x14ac:dyDescent="0.25">
      <c r="A7" t="s">
        <v>6</v>
      </c>
      <c r="B7">
        <f>SUMIFS('Produktion &amp; forbrug'!$AD$4:$AD$147,'Produktion &amp; forbrug'!$C$4:$C$147,$A7,'Produktion &amp; forbrug'!$F$4:$F$147,B$2)</f>
        <v>0.10932575033613341</v>
      </c>
      <c r="C7">
        <f>SUMIFS('Produktion &amp; forbrug'!$AD$4:$AD$147,'Produktion &amp; forbrug'!$C$4:$C$147,$A7,'Produktion &amp; forbrug'!$F$4:$F$147,C$2)</f>
        <v>0.11041963571167845</v>
      </c>
      <c r="D7" s="445">
        <f t="shared" si="2"/>
        <v>6.6397776303000006E-2</v>
      </c>
      <c r="E7">
        <f t="shared" si="3"/>
        <v>4.2927974033133406E-2</v>
      </c>
      <c r="J7" t="s">
        <v>159</v>
      </c>
      <c r="K7" t="s">
        <v>369</v>
      </c>
      <c r="O7" t="s">
        <v>364</v>
      </c>
      <c r="P7" t="s">
        <v>348</v>
      </c>
      <c r="Q7" s="94">
        <v>0</v>
      </c>
      <c r="R7">
        <f t="shared" si="0"/>
        <v>0</v>
      </c>
      <c r="S7">
        <v>0</v>
      </c>
      <c r="T7">
        <f t="shared" si="1"/>
        <v>0</v>
      </c>
    </row>
    <row r="8" spans="1:20" x14ac:dyDescent="0.25">
      <c r="A8" t="s">
        <v>369</v>
      </c>
      <c r="B8">
        <f>SUMIFS('Produktion &amp; forbrug'!$AD$4:$AD$147,'Produktion &amp; forbrug'!$C$4:$C$147,$A8,'Produktion &amp; forbrug'!$F$4:$F$147,B$2)</f>
        <v>-1.1364356732063328</v>
      </c>
      <c r="C8">
        <f>SUMIFS('Produktion &amp; forbrug'!$AD$4:$AD$147,'Produktion &amp; forbrug'!$C$4:$C$147,$A8,'Produktion &amp; forbrug'!$F$4:$F$147,C$2)</f>
        <v>-0.93573776193929703</v>
      </c>
      <c r="D8" s="445">
        <f t="shared" si="2"/>
        <v>-0.729376068376</v>
      </c>
      <c r="E8">
        <f t="shared" si="3"/>
        <v>-0.40705960483033277</v>
      </c>
      <c r="J8" s="171" t="s">
        <v>12</v>
      </c>
      <c r="K8" t="s">
        <v>12</v>
      </c>
      <c r="O8" t="s">
        <v>369</v>
      </c>
      <c r="P8" t="s">
        <v>349</v>
      </c>
      <c r="Q8" s="94">
        <v>-729376068376</v>
      </c>
      <c r="R8">
        <f t="shared" si="0"/>
        <v>-0.729376068376</v>
      </c>
      <c r="S8">
        <v>580</v>
      </c>
      <c r="T8">
        <f t="shared" si="1"/>
        <v>580000</v>
      </c>
    </row>
    <row r="9" spans="1:20" x14ac:dyDescent="0.25">
      <c r="A9" t="s">
        <v>12</v>
      </c>
      <c r="B9">
        <f>SUMIFS('Produktion &amp; forbrug'!$AD$4:$AD$147,'Produktion &amp; forbrug'!$C$4:$C$147,$A9,'Produktion &amp; forbrug'!$F$4:$F$147,B$2)</f>
        <v>1.765277402754017</v>
      </c>
      <c r="C9">
        <f>SUMIFS('Produktion &amp; forbrug'!$AD$4:$AD$147,'Produktion &amp; forbrug'!$C$4:$C$147,$A9,'Produktion &amp; forbrug'!$F$4:$F$147,C$2)</f>
        <v>1.6795125222681087</v>
      </c>
      <c r="D9" s="445">
        <f t="shared" si="2"/>
        <v>0.26037616703400002</v>
      </c>
      <c r="E9">
        <f t="shared" si="3"/>
        <v>1.5049012357200171</v>
      </c>
      <c r="J9" s="171" t="s">
        <v>48</v>
      </c>
      <c r="K9" t="s">
        <v>48</v>
      </c>
      <c r="P9" t="s">
        <v>350</v>
      </c>
      <c r="Q9" s="94">
        <v>-933787106447</v>
      </c>
      <c r="R9">
        <f t="shared" si="0"/>
        <v>-0.93378710644700003</v>
      </c>
      <c r="S9">
        <v>214</v>
      </c>
      <c r="T9">
        <f t="shared" si="1"/>
        <v>214000</v>
      </c>
    </row>
    <row r="10" spans="1:20" x14ac:dyDescent="0.25">
      <c r="A10" t="s">
        <v>48</v>
      </c>
      <c r="B10">
        <f>SUMIFS('Produktion &amp; forbrug'!$AD$4:$AD$147,'Produktion &amp; forbrug'!$C$4:$C$147,$A10,'Produktion &amp; forbrug'!$F$4:$F$147,B$2)</f>
        <v>10.337098879069501</v>
      </c>
      <c r="C10">
        <f>SUMIFS('Produktion &amp; forbrug'!$AD$4:$AD$147,'Produktion &amp; forbrug'!$C$4:$C$147,$A10,'Produktion &amp; forbrug'!$F$4:$F$147,C$2)</f>
        <v>12.363281400084265</v>
      </c>
      <c r="D10" s="445">
        <f t="shared" si="2"/>
        <v>5.5838533356869995</v>
      </c>
      <c r="E10">
        <f t="shared" si="3"/>
        <v>4.7532455433825014</v>
      </c>
      <c r="J10" t="s">
        <v>53</v>
      </c>
      <c r="K10" t="s">
        <v>48</v>
      </c>
      <c r="O10" t="s">
        <v>6</v>
      </c>
      <c r="P10" t="s">
        <v>351</v>
      </c>
      <c r="Q10" s="94">
        <v>66397776303</v>
      </c>
      <c r="R10">
        <f t="shared" si="0"/>
        <v>6.6397776303000006E-2</v>
      </c>
      <c r="S10">
        <v>287</v>
      </c>
      <c r="T10">
        <f t="shared" si="1"/>
        <v>287000</v>
      </c>
    </row>
    <row r="11" spans="1:20" x14ac:dyDescent="0.25">
      <c r="A11" t="s">
        <v>116</v>
      </c>
      <c r="B11">
        <f>SUMIFS('Produktion &amp; forbrug'!$AD$4:$AD$147,'Produktion &amp; forbrug'!$C$4:$C$147,$A11,'Produktion &amp; forbrug'!$F$4:$F$147,B$2)</f>
        <v>2.1316857659999999</v>
      </c>
      <c r="C11">
        <f>SUMIFS('Produktion &amp; forbrug'!$AD$4:$AD$147,'Produktion &amp; forbrug'!$C$4:$C$147,$A11,'Produktion &amp; forbrug'!$F$4:$F$147,C$2)</f>
        <v>2.0712804621566816</v>
      </c>
      <c r="D11" s="445">
        <f t="shared" si="2"/>
        <v>3.2659921037490003</v>
      </c>
      <c r="E11">
        <f t="shared" si="3"/>
        <v>-1.1343063377490004</v>
      </c>
      <c r="J11" s="171" t="s">
        <v>116</v>
      </c>
      <c r="K11" t="s">
        <v>116</v>
      </c>
      <c r="O11" t="s">
        <v>54</v>
      </c>
      <c r="P11" t="s">
        <v>352</v>
      </c>
      <c r="Q11" s="94">
        <v>16267328699</v>
      </c>
      <c r="R11">
        <f t="shared" si="0"/>
        <v>1.6267328699000001E-2</v>
      </c>
      <c r="S11">
        <v>67</v>
      </c>
      <c r="T11">
        <f t="shared" si="1"/>
        <v>67000</v>
      </c>
    </row>
    <row r="12" spans="1:20" x14ac:dyDescent="0.25">
      <c r="A12" t="s">
        <v>368</v>
      </c>
      <c r="B12">
        <f>SUMIFS('Produktion &amp; forbrug'!$AD$4:$AD$147,'Produktion &amp; forbrug'!$C$4:$C$147,$A12,'Produktion &amp; forbrug'!$F$4:$F$147,B$2)</f>
        <v>7.6169499999999995E-4</v>
      </c>
      <c r="C12">
        <f>SUMIFS('Produktion &amp; forbrug'!$AD$4:$AD$147,'Produktion &amp; forbrug'!$C$4:$C$147,$A12,'Produktion &amp; forbrug'!$F$4:$F$147,C$2)</f>
        <v>8.8654299999999994E-4</v>
      </c>
      <c r="D12" s="445">
        <f t="shared" si="2"/>
        <v>0.75554379344599998</v>
      </c>
      <c r="E12">
        <f t="shared" si="3"/>
        <v>-0.75478209844599997</v>
      </c>
      <c r="J12" s="171" t="s">
        <v>106</v>
      </c>
      <c r="K12" t="s">
        <v>368</v>
      </c>
      <c r="O12" t="s">
        <v>365</v>
      </c>
      <c r="P12" t="s">
        <v>353</v>
      </c>
      <c r="Q12" s="94">
        <v>0</v>
      </c>
      <c r="R12">
        <f t="shared" si="0"/>
        <v>0</v>
      </c>
      <c r="S12">
        <v>0</v>
      </c>
      <c r="T12">
        <f t="shared" si="1"/>
        <v>0</v>
      </c>
    </row>
    <row r="13" spans="1:20" x14ac:dyDescent="0.25">
      <c r="A13" t="s">
        <v>55</v>
      </c>
      <c r="B13">
        <f>SUMIFS('Produktion &amp; forbrug'!$AD$4:$AD$147,'Produktion &amp; forbrug'!$C$4:$C$147,$A13,'Produktion &amp; forbrug'!$F$4:$F$147,B$2)</f>
        <v>0.78236622704276404</v>
      </c>
      <c r="C13">
        <f>SUMIFS('Produktion &amp; forbrug'!$AD$4:$AD$147,'Produktion &amp; forbrug'!$C$4:$C$147,$A13,'Produktion &amp; forbrug'!$F$4:$F$147,C$2)</f>
        <v>0.76249699895424183</v>
      </c>
      <c r="D13" s="445">
        <f t="shared" si="2"/>
        <v>3.1937500000000001E-2</v>
      </c>
      <c r="E13">
        <f t="shared" si="3"/>
        <v>0.75042872704276409</v>
      </c>
      <c r="J13" s="171" t="s">
        <v>14</v>
      </c>
      <c r="K13" t="s">
        <v>341</v>
      </c>
      <c r="O13" t="s">
        <v>366</v>
      </c>
      <c r="P13" t="s">
        <v>354</v>
      </c>
      <c r="Q13" s="94">
        <v>0</v>
      </c>
      <c r="R13">
        <f t="shared" si="0"/>
        <v>0</v>
      </c>
      <c r="S13">
        <v>0</v>
      </c>
      <c r="T13">
        <f t="shared" si="1"/>
        <v>0</v>
      </c>
    </row>
    <row r="14" spans="1:20" x14ac:dyDescent="0.25">
      <c r="A14" t="s">
        <v>52</v>
      </c>
      <c r="B14">
        <f>SUMIFS('Produktion &amp; forbrug'!$AD$4:$AD$147,'Produktion &amp; forbrug'!$C$4:$C$147,$A14,'Produktion &amp; forbrug'!$F$4:$F$147,B$2)</f>
        <v>0.49133266422523447</v>
      </c>
      <c r="C14">
        <f>SUMIFS('Produktion &amp; forbrug'!$AD$4:$AD$147,'Produktion &amp; forbrug'!$C$4:$C$147,$A14,'Produktion &amp; forbrug'!$F$4:$F$147,C$2)</f>
        <v>0.54917910516918844</v>
      </c>
      <c r="D14" s="445">
        <f t="shared" si="2"/>
        <v>1.4216985551479999</v>
      </c>
      <c r="E14">
        <f t="shared" si="3"/>
        <v>-0.93036589092276545</v>
      </c>
      <c r="J14" s="171" t="s">
        <v>55</v>
      </c>
      <c r="K14" t="s">
        <v>55</v>
      </c>
      <c r="O14" t="s">
        <v>48</v>
      </c>
      <c r="P14" t="s">
        <v>355</v>
      </c>
      <c r="Q14" s="94">
        <v>352216722540</v>
      </c>
      <c r="R14">
        <f t="shared" si="0"/>
        <v>0.35221672254000003</v>
      </c>
      <c r="S14">
        <v>683</v>
      </c>
      <c r="T14">
        <f t="shared" si="1"/>
        <v>683000</v>
      </c>
    </row>
    <row r="15" spans="1:20" x14ac:dyDescent="0.25">
      <c r="B15">
        <f>SUM(B3:B14)</f>
        <v>19.960490719951661</v>
      </c>
      <c r="C15">
        <f t="shared" ref="C15:D15" si="4">SUM(C3:C14)</f>
        <v>21.592419108386824</v>
      </c>
      <c r="D15">
        <f t="shared" si="4"/>
        <v>14.472325008307999</v>
      </c>
      <c r="J15" t="s">
        <v>231</v>
      </c>
      <c r="K15" t="s">
        <v>369</v>
      </c>
      <c r="O15" t="s">
        <v>341</v>
      </c>
      <c r="P15" t="s">
        <v>356</v>
      </c>
      <c r="Q15" s="94">
        <v>3337430939227</v>
      </c>
      <c r="R15">
        <f t="shared" si="0"/>
        <v>3.3374309392270001</v>
      </c>
      <c r="S15">
        <v>1997</v>
      </c>
      <c r="T15">
        <f t="shared" si="1"/>
        <v>1997000</v>
      </c>
    </row>
    <row r="16" spans="1:20" x14ac:dyDescent="0.25">
      <c r="J16" t="s">
        <v>52</v>
      </c>
      <c r="K16" t="s">
        <v>52</v>
      </c>
      <c r="O16" t="s">
        <v>341</v>
      </c>
      <c r="P16" t="s">
        <v>357</v>
      </c>
      <c r="Q16" s="94">
        <v>314366706876</v>
      </c>
      <c r="R16">
        <f t="shared" si="0"/>
        <v>0.31436670687599999</v>
      </c>
      <c r="S16">
        <v>258</v>
      </c>
      <c r="T16">
        <f t="shared" si="1"/>
        <v>258000</v>
      </c>
    </row>
    <row r="17" spans="1:20" x14ac:dyDescent="0.25">
      <c r="B17">
        <v>2019</v>
      </c>
      <c r="C17">
        <v>2050</v>
      </c>
      <c r="D17" t="s">
        <v>367</v>
      </c>
      <c r="E17" t="s">
        <v>373</v>
      </c>
      <c r="J17" s="171" t="s">
        <v>13</v>
      </c>
      <c r="K17" t="s">
        <v>341</v>
      </c>
      <c r="O17" t="s">
        <v>116</v>
      </c>
      <c r="P17" t="s">
        <v>358</v>
      </c>
      <c r="Q17" s="94">
        <v>1421114566929</v>
      </c>
      <c r="R17">
        <f t="shared" si="0"/>
        <v>1.421114566929</v>
      </c>
      <c r="S17">
        <v>533</v>
      </c>
      <c r="T17">
        <f t="shared" si="1"/>
        <v>533000</v>
      </c>
    </row>
    <row r="18" spans="1:20" x14ac:dyDescent="0.25">
      <c r="A18" t="s">
        <v>15</v>
      </c>
      <c r="B18">
        <f>SUMIFS('Produktion &amp; forbrug'!$AC$4:$AC$147,'Produktion &amp; forbrug'!$C$4:$C$147,$A18,'Produktion &amp; forbrug'!$F$4:$F$147,B$2)</f>
        <v>235000</v>
      </c>
      <c r="C18">
        <f>SUMIFS('Produktion &amp; forbrug'!$AC$4:$AC$147,'Produktion &amp; forbrug'!$C$4:$C$147,$A18,'Produktion &amp; forbrug'!$F$4:$F$147,C$2)</f>
        <v>225699.33858382018</v>
      </c>
      <c r="D18" s="445">
        <f>SUMIFS($T$2:$T$22,$O$2:$O$22,A18)</f>
        <v>76000</v>
      </c>
      <c r="E18">
        <f>B18-D18</f>
        <v>159000</v>
      </c>
      <c r="J18" s="171" t="s">
        <v>99</v>
      </c>
      <c r="K18" t="s">
        <v>368</v>
      </c>
      <c r="O18" t="s">
        <v>15</v>
      </c>
      <c r="P18" t="s">
        <v>359</v>
      </c>
      <c r="Q18" s="94">
        <v>97142426071</v>
      </c>
      <c r="R18">
        <f t="shared" si="0"/>
        <v>9.7142426071000001E-2</v>
      </c>
      <c r="S18">
        <v>76</v>
      </c>
      <c r="T18">
        <f t="shared" si="1"/>
        <v>76000</v>
      </c>
    </row>
    <row r="19" spans="1:20" x14ac:dyDescent="0.25">
      <c r="A19" t="s">
        <v>49</v>
      </c>
      <c r="B19">
        <f>SUMIFS('Produktion &amp; forbrug'!$AC$4:$AC$147,'Produktion &amp; forbrug'!$C$4:$C$147,$A19,'Produktion &amp; forbrug'!$F$4:$F$147,B$2)</f>
        <v>212954.76453418657</v>
      </c>
      <c r="C19">
        <f>SUMIFS('Produktion &amp; forbrug'!$AC$4:$AC$147,'Produktion &amp; forbrug'!$C$4:$C$147,$A19,'Produktion &amp; forbrug'!$F$4:$F$147,C$2)</f>
        <v>210893.104623419</v>
      </c>
      <c r="D19" s="445">
        <f t="shared" ref="D19:D29" si="5">SUMIFS($T$2:$T$22,$O$2:$O$22,A19)</f>
        <v>34000</v>
      </c>
      <c r="E19">
        <f t="shared" ref="E19:E29" si="6">B19-D19</f>
        <v>178954.76453418657</v>
      </c>
      <c r="O19" t="s">
        <v>116</v>
      </c>
      <c r="P19" t="s">
        <v>360</v>
      </c>
      <c r="Q19" s="94">
        <v>1844877536820</v>
      </c>
      <c r="R19">
        <f t="shared" si="0"/>
        <v>1.8448775368200001</v>
      </c>
      <c r="S19">
        <v>4909</v>
      </c>
      <c r="T19">
        <f t="shared" si="1"/>
        <v>4909000</v>
      </c>
    </row>
    <row r="20" spans="1:20" x14ac:dyDescent="0.25">
      <c r="A20" t="s">
        <v>341</v>
      </c>
      <c r="B20">
        <f>SUMIFS('Produktion &amp; forbrug'!$AC$4:$AC$147,'Produktion &amp; forbrug'!$C$4:$C$147,$A20,'Produktion &amp; forbrug'!$F$4:$F$147,B$2)</f>
        <v>1918344.9215345967</v>
      </c>
      <c r="C20">
        <f>SUMIFS('Produktion &amp; forbrug'!$AC$4:$AC$147,'Produktion &amp; forbrug'!$C$4:$C$147,$A20,'Produktion &amp; forbrug'!$F$4:$F$147,C$2)</f>
        <v>1679228.9288541514</v>
      </c>
      <c r="D20" s="445">
        <f t="shared" si="5"/>
        <v>2255000</v>
      </c>
      <c r="E20">
        <f t="shared" si="6"/>
        <v>-336655.07846540329</v>
      </c>
      <c r="O20" t="s">
        <v>368</v>
      </c>
      <c r="P20" t="s">
        <v>361</v>
      </c>
      <c r="Q20" s="94">
        <v>759139852559</v>
      </c>
      <c r="R20">
        <f t="shared" si="0"/>
        <v>0.75913985255899996</v>
      </c>
      <c r="S20">
        <v>868</v>
      </c>
      <c r="T20">
        <f t="shared" si="1"/>
        <v>868000</v>
      </c>
    </row>
    <row r="21" spans="1:20" x14ac:dyDescent="0.25">
      <c r="A21" t="s">
        <v>54</v>
      </c>
      <c r="B21">
        <f>SUMIFS('Produktion &amp; forbrug'!$AC$4:$AC$147,'Produktion &amp; forbrug'!$C$4:$C$147,$A21,'Produktion &amp; forbrug'!$F$4:$F$147,B$2)</f>
        <v>41728.949017214291</v>
      </c>
      <c r="C21">
        <f>SUMIFS('Produktion &amp; forbrug'!$AC$4:$AC$147,'Produktion &amp; forbrug'!$C$4:$C$147,$A21,'Produktion &amp; forbrug'!$F$4:$F$147,C$2)</f>
        <v>41205.106350818656</v>
      </c>
      <c r="D21" s="445">
        <f t="shared" si="5"/>
        <v>67000</v>
      </c>
      <c r="E21">
        <f t="shared" si="6"/>
        <v>-25271.050982785709</v>
      </c>
      <c r="O21" t="s">
        <v>368</v>
      </c>
      <c r="P21" t="s">
        <v>362</v>
      </c>
      <c r="Q21" s="94">
        <v>-3596059113</v>
      </c>
      <c r="R21">
        <f t="shared" si="0"/>
        <v>-3.596059113E-3</v>
      </c>
      <c r="S21">
        <v>0</v>
      </c>
      <c r="T21">
        <f t="shared" si="1"/>
        <v>0</v>
      </c>
    </row>
    <row r="22" spans="1:20" x14ac:dyDescent="0.25">
      <c r="A22" t="s">
        <v>6</v>
      </c>
      <c r="B22">
        <f>SUMIFS('Produktion &amp; forbrug'!$AC$4:$AC$147,'Produktion &amp; forbrug'!$C$4:$C$147,$A22,'Produktion &amp; forbrug'!$F$4:$F$147,B$2)</f>
        <v>280322.43675931642</v>
      </c>
      <c r="C22">
        <f>SUMIFS('Produktion &amp; forbrug'!$AC$4:$AC$147,'Produktion &amp; forbrug'!$C$4:$C$147,$A22,'Produktion &amp; forbrug'!$F$4:$F$147,C$2)</f>
        <v>283127.27105558576</v>
      </c>
      <c r="D22" s="445">
        <f t="shared" si="5"/>
        <v>287000</v>
      </c>
      <c r="E22">
        <f t="shared" si="6"/>
        <v>-6677.5632406835794</v>
      </c>
      <c r="O22" t="s">
        <v>55</v>
      </c>
      <c r="P22" t="s">
        <v>363</v>
      </c>
      <c r="Q22" s="94">
        <v>31937500000</v>
      </c>
      <c r="R22">
        <f t="shared" si="0"/>
        <v>3.1937500000000001E-2</v>
      </c>
      <c r="S22">
        <v>0</v>
      </c>
      <c r="T22">
        <f t="shared" si="1"/>
        <v>0</v>
      </c>
    </row>
    <row r="23" spans="1:20" x14ac:dyDescent="0.25">
      <c r="A23" t="s">
        <v>369</v>
      </c>
      <c r="B23">
        <f>SUMIFS('Produktion &amp; forbrug'!$AC$4:$AC$147,'Produktion &amp; forbrug'!$C$4:$C$147,$A23,'Produktion &amp; forbrug'!$F$4:$F$147,B$2)</f>
        <v>-5204010.1923478451</v>
      </c>
      <c r="C23">
        <f>SUMIFS('Produktion &amp; forbrug'!$AC$4:$AC$147,'Produktion &amp; forbrug'!$C$4:$C$147,$A23,'Produktion &amp; forbrug'!$F$4:$F$147,C$2)</f>
        <v>-4821997.6520766914</v>
      </c>
      <c r="D23" s="445">
        <f t="shared" si="5"/>
        <v>580000</v>
      </c>
      <c r="E23">
        <f t="shared" si="6"/>
        <v>-5784010.1923478451</v>
      </c>
    </row>
    <row r="24" spans="1:20" x14ac:dyDescent="0.25">
      <c r="A24" t="s">
        <v>12</v>
      </c>
      <c r="B24">
        <f>SUMIFS('Produktion &amp; forbrug'!$AC$4:$AC$147,'Produktion &amp; forbrug'!$C$4:$C$147,$A24,'Produktion &amp; forbrug'!$F$4:$F$147,B$2)</f>
        <v>2263176.157376945</v>
      </c>
      <c r="C24">
        <f>SUMIFS('Produktion &amp; forbrug'!$AC$4:$AC$147,'Produktion &amp; forbrug'!$C$4:$C$147,$A24,'Produktion &amp; forbrug'!$F$4:$F$147,C$2)</f>
        <v>2153221.1823950112</v>
      </c>
      <c r="D24" s="445">
        <f t="shared" si="5"/>
        <v>1358000</v>
      </c>
      <c r="E24">
        <f t="shared" si="6"/>
        <v>905176.15737694502</v>
      </c>
    </row>
    <row r="25" spans="1:20" x14ac:dyDescent="0.25">
      <c r="A25" t="s">
        <v>48</v>
      </c>
      <c r="B25">
        <f>SUMIFS('Produktion &amp; forbrug'!$AC$4:$AC$147,'Produktion &amp; forbrug'!$C$4:$C$147,$A25,'Produktion &amp; forbrug'!$F$4:$F$147,B$2)</f>
        <v>3781951.1214967929</v>
      </c>
      <c r="C25">
        <f>SUMIFS('Produktion &amp; forbrug'!$AC$4:$AC$147,'Produktion &amp; forbrug'!$C$4:$C$147,$A25,'Produktion &amp; forbrug'!$F$4:$F$147,C$2)</f>
        <v>4853682.860515967</v>
      </c>
      <c r="D25" s="445">
        <f t="shared" si="5"/>
        <v>9500000</v>
      </c>
      <c r="E25">
        <f t="shared" si="6"/>
        <v>-5718048.8785032071</v>
      </c>
    </row>
    <row r="26" spans="1:20" x14ac:dyDescent="0.25">
      <c r="A26" t="s">
        <v>116</v>
      </c>
      <c r="B26">
        <f>SUMIFS('Produktion &amp; forbrug'!$AC$4:$AC$147,'Produktion &amp; forbrug'!$C$4:$C$147,$A26,'Produktion &amp; forbrug'!$F$4:$F$147,B$2)</f>
        <v>3383628.2</v>
      </c>
      <c r="C26">
        <f>SUMIFS('Produktion &amp; forbrug'!$AC$4:$AC$147,'Produktion &amp; forbrug'!$C$4:$C$147,$A26,'Produktion &amp; forbrug'!$F$4:$F$147,C$2)</f>
        <v>3287746.765328066</v>
      </c>
      <c r="D26" s="445">
        <f t="shared" si="5"/>
        <v>5442000</v>
      </c>
      <c r="E26">
        <f t="shared" si="6"/>
        <v>-2058371.7999999998</v>
      </c>
    </row>
    <row r="27" spans="1:20" x14ac:dyDescent="0.25">
      <c r="A27" t="s">
        <v>368</v>
      </c>
      <c r="B27">
        <f>SUMIFS('Produktion &amp; forbrug'!$AC$4:$AC$147,'Produktion &amp; forbrug'!$C$4:$C$147,$A27,'Produktion &amp; forbrug'!$F$4:$F$147,B$2)</f>
        <v>956.59999999999991</v>
      </c>
      <c r="C27">
        <f>SUMIFS('Produktion &amp; forbrug'!$AC$4:$AC$147,'Produktion &amp; forbrug'!$C$4:$C$147,$A27,'Produktion &amp; forbrug'!$F$4:$F$147,C$2)</f>
        <v>1262.5999999999999</v>
      </c>
      <c r="D27" s="445">
        <f t="shared" si="5"/>
        <v>868000</v>
      </c>
      <c r="E27">
        <f t="shared" si="6"/>
        <v>-867043.4</v>
      </c>
    </row>
    <row r="28" spans="1:20" x14ac:dyDescent="0.25">
      <c r="A28" t="s">
        <v>55</v>
      </c>
      <c r="B28">
        <f>SUMIFS('Produktion &amp; forbrug'!$AC$4:$AC$147,'Produktion &amp; forbrug'!$C$4:$C$147,$A28,'Produktion &amp; forbrug'!$F$4:$F$147,B$2)</f>
        <v>2006067.2488276002</v>
      </c>
      <c r="C28">
        <f>SUMIFS('Produktion &amp; forbrug'!$AC$4:$AC$147,'Produktion &amp; forbrug'!$C$4:$C$147,$A28,'Produktion &amp; forbrug'!$F$4:$F$147,C$2)</f>
        <v>1955120.5101390816</v>
      </c>
      <c r="D28" s="445">
        <f t="shared" si="5"/>
        <v>0</v>
      </c>
      <c r="E28">
        <f t="shared" si="6"/>
        <v>2006067.2488276002</v>
      </c>
    </row>
    <row r="29" spans="1:20" x14ac:dyDescent="0.25">
      <c r="A29" t="s">
        <v>52</v>
      </c>
      <c r="B29">
        <f>SUMIFS('Produktion &amp; forbrug'!$AC$4:$AC$147,'Produktion &amp; forbrug'!$C$4:$C$147,$A29,'Produktion &amp; forbrug'!$F$4:$F$147,B$2)</f>
        <v>1637775.5474174484</v>
      </c>
      <c r="C29">
        <f>SUMIFS('Produktion &amp; forbrug'!$AC$4:$AC$147,'Produktion &amp; forbrug'!$C$4:$C$147,$A29,'Produktion &amp; forbrug'!$F$4:$F$147,C$2)</f>
        <v>1830597.0172306283</v>
      </c>
      <c r="D29" s="445">
        <f t="shared" si="5"/>
        <v>2885000</v>
      </c>
      <c r="E29">
        <f t="shared" si="6"/>
        <v>-1247224.4525825516</v>
      </c>
    </row>
    <row r="30" spans="1:20" x14ac:dyDescent="0.25">
      <c r="B30">
        <f>SUM(B18:B29)</f>
        <v>10557895.754616257</v>
      </c>
      <c r="C30">
        <f t="shared" ref="C30:D30" si="7">SUM(C18:C29)</f>
        <v>11699787.032999856</v>
      </c>
      <c r="D30">
        <f t="shared" si="7"/>
        <v>23352000</v>
      </c>
    </row>
  </sheetData>
  <hyperlinks>
    <hyperlink ref="O1" r:id="rId1" xr:uid="{86ADADE7-AA62-48E5-BE43-B928399DBE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36" t="s">
        <v>23</v>
      </c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8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32" t="s">
        <v>7</v>
      </c>
      <c r="D3" s="433"/>
      <c r="E3" s="433"/>
      <c r="F3" s="433"/>
      <c r="G3" s="433"/>
      <c r="H3" s="433"/>
      <c r="I3" s="433"/>
      <c r="J3" s="433"/>
      <c r="K3" s="434"/>
      <c r="L3" s="432" t="s">
        <v>8</v>
      </c>
      <c r="M3" s="433"/>
      <c r="N3" s="433"/>
      <c r="O3" s="433"/>
      <c r="P3" s="433"/>
      <c r="Q3" s="433"/>
      <c r="R3" s="433"/>
      <c r="S3" s="433"/>
      <c r="T3" s="434"/>
      <c r="U3" s="70"/>
      <c r="W3" s="30" t="s">
        <v>272</v>
      </c>
      <c r="X3" s="34">
        <f>C24+C51</f>
        <v>11808068</v>
      </c>
      <c r="Y3" s="11">
        <f>D24+D51</f>
        <v>11256259.526140403</v>
      </c>
      <c r="Z3" s="22">
        <f>E24+E51</f>
        <v>10203648.676884217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1232959.2457426467</v>
      </c>
      <c r="Z4" s="22">
        <f t="shared" si="0"/>
        <v>1172869.6474243198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19328402.782654595</v>
      </c>
      <c r="Z5" s="23">
        <f t="shared" si="0"/>
        <v>18416921.146918636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809789.15928333369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20843.531266124886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8269.0161200631464</v>
      </c>
      <c r="I6" s="11">
        <f>IF(Landbrug!$E$47&gt;0,SUMIF(Landbrug!$B$32:$B$45,$B6,IF($I$4=År2,Landbrug!$D$32:$D$45,Landbrug!$E$32:$E$45)),'[1]Afgrødefordeling - jordtype'!$G4)*(1-Landbrug!$E$5)*Arealanvendelse!P$26</f>
        <v>703268.18873094791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16500.437390404819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126383.27919450874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3253.0366715917453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1290.5400881023411</v>
      </c>
      <c r="R6" s="11">
        <f>IF(Landbrug!$E$47&gt;0,SUMIF(Landbrug!$B$32:$B$45,$B6,IF($R$4=År2,Landbrug!$D$32:$D$45,Landbrug!$E$32:$E$45)),'[1]Afgrødefordeling - jordtype'!$G4)*(Landbrug!$E$5)*Arealanvendelse!P$26</f>
        <v>149178.10063989804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3500.0927797828404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661549.01256927487</v>
      </c>
      <c r="Z6" s="22">
        <f t="shared" si="1"/>
        <v>1021099.0231157838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55949.560086021185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1786.7951054397183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476.12351737499114</v>
      </c>
      <c r="I7" s="11">
        <f>IF(Landbrug!$E$47&gt;0,SUMIF(Landbrug!$B$32:$B$45,$B7,IF($I$4=År2,Landbrug!$D$32:$D$45,Landbrug!$E$32:$E$45)),'[1]Afgrødefordeling - jordtype'!$G5)*(1-Landbrug!$E$5)*Arealanvendelse!P$26</f>
        <v>48589.864819642906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1414.4868444007736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8732.0122677605341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278.86397599348209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74.308294619218273</v>
      </c>
      <c r="R7" s="11">
        <f>IF(Landbrug!$E$47&gt;0,SUMIF(Landbrug!$B$32:$B$45,$B7,IF($R$4=År2,Landbrug!$D$32:$D$45,Landbrug!$E$32:$E$45)),'[1]Afgrødefordeling - jordtype'!$G5)*(Landbrug!$E$5)*Arealanvendelse!P$26</f>
        <v>10306.941022348496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300.04266396380046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258472.75425735323</v>
      </c>
      <c r="Z7" s="22">
        <f t="shared" si="1"/>
        <v>318562.35257568007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94087.082412375472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1913.2698208119741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616.55839503976472</v>
      </c>
      <c r="I8" s="11">
        <f>IF(Landbrug!$E$47&gt;0,SUMIF(Landbrug!$B$32:$B$45,$B8,IF($I$4=År2,Landbrug!$D$32:$D$45,Landbrug!$E$32:$E$45)),'[1]Afgrødefordeling - jordtype'!$G6)*(1-Landbrug!$E$5)*Arealanvendelse!P$26</f>
        <v>81710.716021056694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1514.6084646686793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14684.111127942995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298.60280440418097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96.225876682506637</v>
      </c>
      <c r="R8" s="11">
        <f>IF(Landbrug!$E$47&gt;0,SUMIF(Landbrug!$B$32:$B$45,$B8,IF($R$4=År2,Landbrug!$D$32:$D$45,Landbrug!$E$32:$E$45)),'[1]Afgrødefordeling - jordtype'!$G6)*(Landbrug!$E$5)*Arealanvendelse!P$26</f>
        <v>17332.576125678694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321.28058341456835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3731478.2173454049</v>
      </c>
      <c r="Z8" s="23">
        <f t="shared" si="1"/>
        <v>4642959.853081366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179394.47433816589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17656.329249729286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14219.782896462779</v>
      </c>
      <c r="I9" s="11">
        <f>IF(Landbrug!$E$47&gt;0,SUMIF(Landbrug!$B$32:$B$45,$B9,IF($I$4=År2,Landbrug!$D$32:$D$45,Landbrug!$E$32:$E$45)),'[1]Afgrødefordeling - jordtype'!$G7)*(1-Landbrug!$E$5)*Arealanvendelse!P$26</f>
        <v>155796.63618588899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13977.341536317093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27997.981544106817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2755.6120794375188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2219.2724751704914</v>
      </c>
      <c r="R9" s="11">
        <f>IF(Landbrug!$E$47&gt;0,SUMIF(Landbrug!$B$32:$B$45,$B9,IF($R$4=År2,Landbrug!$D$32:$D$45,Landbrug!$E$32:$E$45)),'[1]Afgrødefordeling - jordtype'!$G7)*(Landbrug!$E$5)*Arealanvendelse!P$26</f>
        <v>33047.771312158278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2964.8906289157476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6942.1581713830101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82.579316026090069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16.527831515094178</v>
      </c>
      <c r="I10" s="11">
        <f>IF(Landbrug!$E$47&gt;0,SUMIF(Landbrug!$B$32:$B$45,$B10,IF($I$4=År2,Landbrug!$D$32:$D$45,Landbrug!$E$32:$E$45)),'[1]Afgrødefordeling - jordtype'!$G8)*(1-Landbrug!$E$5)*Arealanvendelse!P$26</f>
        <v>6028.9755019603408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65.372552109030366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1083.4582117187358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12.888101345112323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2.5794881555349294</v>
      </c>
      <c r="R10" s="11">
        <f>IF(Landbrug!$E$47&gt;0,SUMIF(Landbrug!$B$32:$B$45,$B10,IF($R$4=År2,Landbrug!$D$32:$D$45,Landbrug!$E$32:$E$45)),'[1]Afgrødefordeling - jordtype'!$G8)*(Landbrug!$E$5)*Arealanvendelse!P$26</f>
        <v>1278.8735913249209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13.866904992824622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41355.317643651651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1303.7133622629699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874.82296878583463</v>
      </c>
      <c r="I11" s="11">
        <f>IF(Landbrug!$E$47&gt;0,SUMIF(Landbrug!$B$32:$B$45,$B11,IF($I$4=År2,Landbrug!$D$32:$D$45,Landbrug!$E$32:$E$45)),'[1]Afgrødefordeling - jordtype'!$G9)*(1-Landbrug!$E$5)*Arealanvendelse!P$26</f>
        <v>35915.372538925141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1032.0631583197971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6454.2981293560397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203.46971549768895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136.5330644925869</v>
      </c>
      <c r="R11" s="11">
        <f>IF(Landbrug!$E$47&gt;0,SUMIF(Landbrug!$B$32:$B$45,$B11,IF($R$4=År2,Landbrug!$D$32:$D$45,Landbrug!$E$32:$E$45)),'[1]Afgrødefordeling - jordtype'!$G9)*(Landbrug!$E$5)*Arealanvendelse!P$26</f>
        <v>7618.4123567416955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218.92248812844184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4037.1409759488074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34.203336491457428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9.4603904307598334</v>
      </c>
      <c r="I12" s="11">
        <f>IF(Landbrug!$E$47&gt;0,SUMIF(Landbrug!$B$32:$B$45,$B12,IF($I$4=År2,Landbrug!$D$32:$D$45,Landbrug!$E$32:$E$45)),'[1]Afgrødefordeling - jordtype'!$G10)*(1-Landbrug!$E$5)*Arealanvendelse!P$26</f>
        <v>3506.0889482883485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27.076506620423842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630.07402514807984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5.3380929784355526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1.4764771192515349</v>
      </c>
      <c r="R12" s="11">
        <f>IF(Landbrug!$E$47&gt;0,SUMIF(Landbrug!$B$32:$B$45,$B12,IF($R$4=År2,Landbrug!$D$32:$D$45,Landbrug!$E$32:$E$45)),'[1]Afgrødefordeling - jordtype'!$G10)*(Landbrug!$E$5)*Arealanvendelse!P$26</f>
        <v>743.71583751571029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5.7435014043323305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138250.29972976272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4415.1367500105207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1176.4921633749784</v>
      </c>
      <c r="I13" s="11">
        <f>IF(Landbrug!$E$47&gt;0,SUMIF(Landbrug!$B$32:$B$45,$B13,IF($I$4=År2,Landbrug!$D$32:$D$45,Landbrug!$E$32:$E$45)),'[1]Afgrødefordeling - jordtype'!$G11)*(1-Landbrug!$E$5)*Arealanvendelse!P$26</f>
        <v>120064.63258721215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3495.1701121787992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21576.636374009206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689.0675852617577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183.61438387933188</v>
      </c>
      <c r="R13" s="11">
        <f>IF(Landbrug!$E$47&gt;0,SUMIF(Landbrug!$B$32:$B$45,$B13,IF($R$4=År2,Landbrug!$D$32:$D$45,Landbrug!$E$32:$E$45)),'[1]Afgrødefordeling - jordtype'!$G11)*(Landbrug!$E$5)*Arealanvendelse!P$26</f>
        <v>25468.255397287427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741.39972076519973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2540.3874452133937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75.215650030725556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33.714690278143649</v>
      </c>
      <c r="I14" s="11">
        <f>IF(Landbrug!$E$47&gt;0,SUMIF(Landbrug!$B$32:$B$45,$B14,IF($I$4=År2,Landbrug!$D$32:$D$45,Landbrug!$E$32:$E$45)),'[1]Afgrødefordeling - jordtype'!$G12)*(1-Landbrug!$E$5)*Arealanvendelse!P$26</f>
        <v>2206.2207882002126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59.54322750136015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396.47665329920017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11.73885867531555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5.2618302746235761</v>
      </c>
      <c r="R14" s="11">
        <f>IF(Landbrug!$E$47&gt;0,SUMIF(Landbrug!$B$32:$B$45,$B14,IF($R$4=År2,Landbrug!$D$32:$D$45,Landbrug!$E$32:$E$45)),'[1]Afgrødefordeling - jordtype'!$G12)*(Landbrug!$E$5)*Arealanvendelse!P$26</f>
        <v>467.98622780004507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12.630381591197606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44929.041857570082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1330.2565696985414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596.27468777483512</v>
      </c>
      <c r="I15" s="11">
        <f>IF(Landbrug!$E$47&gt;0,SUMIF(Landbrug!$B$32:$B$45,$B15,IF($I$4=År2,Landbrug!$D$32:$D$45,Landbrug!$E$32:$E$45)),'[1]Afgrødefordeling - jordtype'!$G13)*(1-Landbrug!$E$5)*Arealanvendelse!P$26</f>
        <v>39019.003312607769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1053.0756502454326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7012.0469951120949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207.61229700497469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93.060211386823994</v>
      </c>
      <c r="R15" s="11">
        <f>IF(Landbrug!$E$47&gt;0,SUMIF(Landbrug!$B$32:$B$45,$B15,IF($R$4=År2,Landbrug!$D$32:$D$45,Landbrug!$E$32:$E$45)),'[1]Afgrødefordeling - jordtype'!$G13)*(Landbrug!$E$5)*Arealanvendelse!P$26</f>
        <v>8276.7582784319511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223.3796833853948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47261.400630257056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3283.4655055701205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1897.1467002204627</v>
      </c>
      <c r="I16" s="11">
        <f>IF(Landbrug!$E$47&gt;0,SUMIF(Landbrug!$B$32:$B$45,$B16,IF($I$4=År2,Landbrug!$D$32:$D$45,Landbrug!$E$32:$E$45)),'[1]Afgrødefordeling - jordtype'!$G14)*(1-Landbrug!$E$5)*Arealanvendelse!P$26</f>
        <v>41044.559854992149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2599.3012559376307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7376.0567457626612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512.44837370169512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296.08647922515894</v>
      </c>
      <c r="R16" s="11">
        <f>IF(Landbrug!$E$47&gt;0,SUMIF(Landbrug!$B$32:$B$45,$B16,IF($R$4=År2,Landbrug!$D$32:$D$45,Landbrug!$E$32:$E$45)),'[1]Afgrødefordeling - jordtype'!$G14)*(Landbrug!$E$5)*Arealanvendelse!P$26</f>
        <v>8706.4217874225778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551.36693307767916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12741.4251138164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377.24740533545247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169.09751393390181</v>
      </c>
      <c r="I17" s="11">
        <f>IF(Landbrug!$E$47&gt;0,SUMIF(Landbrug!$B$32:$B$45,$B17,IF($I$4=År2,Landbrug!$D$32:$D$45,Landbrug!$E$32:$E$45)),'[1]Afgrødefordeling - jordtype'!$G15)*(1-Landbrug!$E$5)*Arealanvendelse!P$26</f>
        <v>11065.397528382413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298.64167990319493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1988.5461160291493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58.876762682411666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26.390941481013577</v>
      </c>
      <c r="R17" s="11">
        <f>IF(Landbrug!$E$47&gt;0,SUMIF(Landbrug!$B$32:$B$45,$B17,IF($R$4=År2,Landbrug!$D$32:$D$45,Landbrug!$E$32:$E$45)),'[1]Afgrødefordeling - jordtype'!$G15)*(Landbrug!$E$5)*Arealanvendelse!P$26</f>
        <v>2347.2055363235422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63.34823513098074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4686.7049638673298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619.57934642519353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399.1587138370042</v>
      </c>
      <c r="I18" s="11">
        <f>IF(Landbrug!$E$47&gt;0,SUMIF(Landbrug!$B$32:$B$45,$B18,IF($I$4=År2,Landbrug!$D$32:$D$45,Landbrug!$E$32:$E$45)),'[1]Afgrødefordeling - jordtype'!$G16)*(1-Landbrug!$E$5)*Arealanvendelse!P$26</f>
        <v>4070.2082428126114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490.4797600535137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731.451063724959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96.697354644394366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62.296446668202975</v>
      </c>
      <c r="R18" s="11">
        <f>IF(Landbrug!$E$47&gt;0,SUMIF(Landbrug!$B$32:$B$45,$B18,IF($R$4=År2,Landbrug!$D$32:$D$45,Landbrug!$E$32:$E$45)),'[1]Afgrødefordeling - jordtype'!$G16)*(Landbrug!$E$5)*Arealanvendelse!P$26</f>
        <v>863.37750605116003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104.0411612234726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112966.14252431852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17512.450507812609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14762.990467149724</v>
      </c>
      <c r="I19" s="11">
        <f>IF(Landbrug!$E$47&gt;0,SUMIF(Landbrug!$B$32:$B$45,$B19,IF($I$4=År2,Landbrug!$D$32:$D$45,Landbrug!$E$32:$E$45)),'[1]Afgrødefordeling - jordtype'!$G17)*(1-Landbrug!$E$5)*Arealanvendelse!P$26</f>
        <v>98106.394152410197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13863.442305783894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17630.554035587287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2733.1570156701764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2304.0505353355065</v>
      </c>
      <c r="R19" s="11">
        <f>IF(Landbrug!$E$47&gt;0,SUMIF(Landbrug!$B$32:$B$45,$B19,IF($R$4=År2,Landbrug!$D$32:$D$45,Landbrug!$E$32:$E$45)),'[1]Afgrødefordeling - jordtype'!$G17)*(Landbrug!$E$5)*Arealanvendelse!P$26</f>
        <v>20810.447244450646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2940.7301860753714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1554930.2951756858</v>
      </c>
      <c r="G20" s="37">
        <f t="shared" si="2"/>
        <v>71233.773191769549</v>
      </c>
      <c r="H20" s="37">
        <f t="shared" si="2"/>
        <v>43517.167056241422</v>
      </c>
      <c r="I20" s="37">
        <f t="shared" si="2"/>
        <v>1350392.2592133279</v>
      </c>
      <c r="J20" s="37">
        <f t="shared" si="2"/>
        <v>56391.040444444443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242676.98248406654</v>
      </c>
      <c r="P20" s="37">
        <f t="shared" si="2"/>
        <v>11117.409688888891</v>
      </c>
      <c r="Q20" s="37">
        <f t="shared" si="2"/>
        <v>6791.6965925925924</v>
      </c>
      <c r="R20" s="37">
        <f t="shared" si="2"/>
        <v>286446.84286343318</v>
      </c>
      <c r="S20" s="37">
        <f t="shared" si="2"/>
        <v>11961.735851851852</v>
      </c>
      <c r="T20" s="38">
        <f t="shared" si="2"/>
        <v>0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32" t="s">
        <v>7</v>
      </c>
      <c r="D22" s="433"/>
      <c r="E22" s="434"/>
      <c r="F22" s="435" t="s">
        <v>8</v>
      </c>
      <c r="G22" s="433"/>
      <c r="H22" s="434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9723529.5356878359</v>
      </c>
      <c r="E24" s="22">
        <f>($F24+$C24)*Landbrug!E11*(1-Landbrug!E6)</f>
        <v>8686398.2742639016</v>
      </c>
      <c r="F24" s="33">
        <f>SUM([1]Dyrehold!E58:G61)</f>
        <v>475477</v>
      </c>
      <c r="G24" s="11">
        <f>($F24+$C24)*Landbrug!D11*Landbrug!D6</f>
        <v>637730.00302184175</v>
      </c>
      <c r="H24" s="22">
        <f>($F24+$C24)*Landbrug!E11*Landbrug!E6</f>
        <v>981800.42573609971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1152879.1032080106</v>
      </c>
      <c r="E25" s="22">
        <f>($F25+$C25)*Landbrug!E12*(1-Landbrug!E7)</f>
        <v>1097180.5432080105</v>
      </c>
      <c r="F25" s="33">
        <f>SUM([1]Dyrehold!E36:G51)</f>
        <v>207835</v>
      </c>
      <c r="G25" s="11">
        <f>($F25+$C25)*Landbrug!D12*Landbrug!D7</f>
        <v>239584.89679198936</v>
      </c>
      <c r="H25" s="22">
        <f>($F25+$C25)*Landbrug!E12*Landbrug!E7</f>
        <v>295283.45679198933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17790568.192894831</v>
      </c>
      <c r="E26" s="23">
        <f>($F26+$C26)*Landbrug!E13*(1-Landbrug!E8)</f>
        <v>16939594.832894832</v>
      </c>
      <c r="F26" s="46">
        <f>SUM([1]Dyrehold!E65:G78)</f>
        <v>3062300</v>
      </c>
      <c r="G26" s="15">
        <f>($F26+$C26)*Landbrug!D13*Landbrug!D8</f>
        <v>3483765.8071051692</v>
      </c>
      <c r="H26" s="23">
        <f>($F26+$C26)*Landbrug!E13*Landbrug!E8</f>
        <v>4334739.167105169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39" t="s">
        <v>24</v>
      </c>
      <c r="B29" s="440"/>
      <c r="C29" s="440"/>
      <c r="D29" s="440"/>
      <c r="E29" s="440"/>
      <c r="F29" s="440"/>
      <c r="G29" s="440"/>
      <c r="H29" s="440"/>
      <c r="I29" s="440"/>
      <c r="J29" s="440"/>
      <c r="K29" s="440"/>
      <c r="L29" s="440"/>
      <c r="M29" s="440"/>
      <c r="N29" s="440"/>
      <c r="O29" s="440"/>
      <c r="P29" s="440"/>
      <c r="Q29" s="440"/>
      <c r="R29" s="440"/>
      <c r="S29" s="440"/>
      <c r="T29" s="440"/>
      <c r="U29" s="441"/>
    </row>
    <row r="30" spans="1:21" x14ac:dyDescent="0.25">
      <c r="A30" s="55"/>
      <c r="B30" s="52"/>
      <c r="C30" s="442" t="s">
        <v>7</v>
      </c>
      <c r="D30" s="443"/>
      <c r="E30" s="443"/>
      <c r="F30" s="443"/>
      <c r="G30" s="443"/>
      <c r="H30" s="443"/>
      <c r="I30" s="443"/>
      <c r="J30" s="443"/>
      <c r="K30" s="444"/>
      <c r="L30" s="442" t="s">
        <v>8</v>
      </c>
      <c r="M30" s="443"/>
      <c r="N30" s="443"/>
      <c r="O30" s="443"/>
      <c r="P30" s="443"/>
      <c r="Q30" s="443"/>
      <c r="R30" s="443"/>
      <c r="S30" s="443"/>
      <c r="T30" s="444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277847.44549518183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4153.0281200981244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1796.6458108942293</v>
      </c>
      <c r="I33" s="11">
        <f>IF(Landbrug!$E$47&gt;0,SUMIF(Landbrug!$B$32:$B$45,$B33,IF($I$31=År2,Landbrug!$D$32:$D$45,Landbrug!$E$32:$E$45)),'[1]Afgrødefordeling - jordtype'!$P4)*(1-Landbrug!$E$5)*Arealanvendelse!P$36</f>
        <v>252961.21164089115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3287.676142844382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43363.474152427225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648.16045804999635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280.40136933031323</v>
      </c>
      <c r="R33" s="11">
        <f>IF(Landbrug!$E$47&gt;0,SUMIF(Landbrug!$B$32:$B$45,$B33,IF($R$31=År2,Landbrug!$D$32:$D$45,Landbrug!$E$32:$E$45)),'[1]Afgrødefordeling - jordtype'!$P4)*(Landbrug!$E$5)*Arealanvendelse!P$36</f>
        <v>53658.438832916305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697.38584848214157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6055.6397331754633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112.30451890716081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32.633012539823845</v>
      </c>
      <c r="I34" s="11">
        <f>IF(Landbrug!$E$47&gt;0,SUMIF(Landbrug!$B$32:$B$45,$B34,IF($I$31=År2,Landbrug!$D$32:$D$45,Landbrug!$E$32:$E$45)),'[1]Afgrødefordeling - jordtype'!$P5)*(1-Landbrug!$E$5)*Arealanvendelse!P$36</f>
        <v>5513.2483274579954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88.904018192866161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945.0998427499278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17.527294858343019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5.0930135177759759</v>
      </c>
      <c r="R34" s="11">
        <f>IF(Landbrug!$E$47&gt;0,SUMIF(Landbrug!$B$32:$B$45,$B34,IF($R$31=År2,Landbrug!$D$32:$D$45,Landbrug!$E$32:$E$45)),'[1]Afgrødefordeling - jordtype'!$P5)*(Landbrug!$E$5)*Arealanvendelse!P$36</f>
        <v>1169.4769179456355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18.858428101517063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38413.381365538749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453.61549532985964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159.40463041598321</v>
      </c>
      <c r="I35" s="11">
        <f>IF(Landbrug!$E$47&gt;0,SUMIF(Landbrug!$B$32:$B$45,$B35,IF($I$31=År2,Landbrug!$D$32:$D$45,Landbrug!$E$32:$E$45)),'[1]Afgrødefordeling - jordtype'!$P6)*(1-Landbrug!$E$5)*Arealanvendelse!P$36</f>
        <v>34972.772472795026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359.09721747448225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5995.1520050262798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70.795481930093715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24.878179313477148</v>
      </c>
      <c r="R35" s="11">
        <f>IF(Landbrug!$E$47&gt;0,SUMIF(Landbrug!$B$32:$B$45,$B35,IF($R$31=År2,Landbrug!$D$32:$D$45,Landbrug!$E$32:$E$45)),'[1]Afgrødefordeling - jordtype'!$P6)*(Landbrug!$E$5)*Arealanvendelse!P$36</f>
        <v>7418.4668881686412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76.17213704004169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23337.085725305184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1333.8196227610581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1171.3986150504631</v>
      </c>
      <c r="I36" s="11">
        <f>IF(Landbrug!$E$47&gt;0,SUMIF(Landbrug!$B$32:$B$45,$B36,IF($I$31=År2,Landbrug!$D$32:$D$45,Landbrug!$E$32:$E$45)),'[1]Afgrødefordeling - jordtype'!$P7)*(1-Landbrug!$E$5)*Arealanvendelse!P$36</f>
        <v>21246.830147095647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1055.8962823747061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3642.2041305389598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208.16838043091659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182.81943703099714</v>
      </c>
      <c r="R36" s="11">
        <f>IF(Landbrug!$E$47&gt;0,SUMIF(Landbrug!$B$32:$B$45,$B36,IF($R$31=År2,Landbrug!$D$32:$D$45,Landbrug!$E$32:$E$45)),'[1]Afgrødefordeling - jordtype'!$P7)*(Landbrug!$E$5)*Arealanvendelse!P$36</f>
        <v>4506.9033645354402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223.97799929160431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3656.9274374465294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25.261099168726226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5.5133034466362671</v>
      </c>
      <c r="I37" s="11">
        <f>IF(Landbrug!$E$47&gt;0,SUMIF(Landbrug!$B$32:$B$45,$B37,IF($I$31=År2,Landbrug!$D$32:$D$45,Landbrug!$E$32:$E$45)),'[1]Afgrødefordeling - jordtype'!$P8)*(1-Landbrug!$E$5)*Arealanvendelse!P$36</f>
        <v>3329.3838415920754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19.997532084392677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570.73433994830236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3.9424836852925322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0.86045776334785684</v>
      </c>
      <c r="R37" s="11">
        <f>IF(Landbrug!$E$47&gt;0,SUMIF(Landbrug!$B$32:$B$45,$B37,IF($R$31=År2,Landbrug!$D$32:$D$45,Landbrug!$E$32:$E$45)),'[1]Afgrødefordeling - jordtype'!$P8)*(Landbrug!$E$5)*Arealanvendelse!P$36</f>
        <v>706.23293609528866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4.2419007451742043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2345.9279292965525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42.946180543416538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31.425171951535479</v>
      </c>
      <c r="I38" s="11">
        <f>IF(Landbrug!$E$47&gt;0,SUMIF(Landbrug!$B$32:$B$45,$B38,IF($I$31=År2,Landbrug!$D$32:$D$45,Landbrug!$E$32:$E$45)),'[1]Afgrødefordeling - jordtype'!$P9)*(1-Landbrug!$E$5)*Arealanvendelse!P$36</f>
        <v>2135.807908398976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33.997634765724179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366.12748029483765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6.7025830905910215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4.9045066051529362</v>
      </c>
      <c r="R38" s="11">
        <f>IF(Landbrug!$E$47&gt;0,SUMIF(Landbrug!$B$32:$B$45,$B38,IF($R$31=År2,Landbrug!$D$32:$D$45,Landbrug!$E$32:$E$45)),'[1]Afgrødefordeling - jordtype'!$P9)*(Landbrug!$E$5)*Arealanvendelse!P$36</f>
        <v>453.05016238766149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7.211619495759674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24387.347223432687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119.98259301094923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36.188775432258431</v>
      </c>
      <c r="I39" s="11">
        <f>IF(Landbrug!$E$47&gt;0,SUMIF(Landbrug!$B$32:$B$45,$B39,IF($I$31=År2,Landbrug!$D$32:$D$45,Landbrug!$E$32:$E$45)),'[1]Afgrødefordeling - jordtype'!$P10)*(1-Landbrug!$E$5)*Arealanvendelse!P$36</f>
        <v>22203.021846582469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94.982238788545629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3806.1177747553907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18.725607001708841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5.6479591715085418</v>
      </c>
      <c r="R39" s="11">
        <f>IF(Landbrug!$E$47&gt;0,SUMIF(Landbrug!$B$32:$B$45,$B39,IF($R$31=År2,Landbrug!$D$32:$D$45,Landbrug!$E$32:$E$45)),'[1]Afgrødefordeling - jordtype'!$P10)*(Landbrug!$E$5)*Arealanvendelse!P$36</f>
        <v>4709.7319068508268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20.147747621812712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6897.6493288624933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127.91995950888544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37.170486845663731</v>
      </c>
      <c r="I40" s="11">
        <f>IF(Landbrug!$E$47&gt;0,SUMIF(Landbrug!$B$32:$B$45,$B40,IF($I$31=År2,Landbrug!$D$32:$D$45,Landbrug!$E$32:$E$45)),'[1]Afgrødefordeling - jordtype'!$P11)*(1-Landbrug!$E$5)*Arealanvendelse!P$36</f>
        <v>6279.8408262972243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101.26572392701387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1076.511744966979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19.964386744161317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5.8011742475891381</v>
      </c>
      <c r="R40" s="11">
        <f>IF(Landbrug!$E$47&gt;0,SUMIF(Landbrug!$B$32:$B$45,$B40,IF($R$31=År2,Landbrug!$D$32:$D$45,Landbrug!$E$32:$E$45)),'[1]Afgrødefordeling - jordtype'!$P11)*(Landbrug!$E$5)*Arealanvendelse!P$36</f>
        <v>1332.0874480024415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21.480608105730209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1604.9535438553075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27.594964857400839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13.488257970641145</v>
      </c>
      <c r="I41" s="11">
        <f>IF(Landbrug!$E$47&gt;0,SUMIF(Landbrug!$B$32:$B$45,$B41,IF($I$31=År2,Landbrug!$D$32:$D$45,Landbrug!$E$32:$E$45)),'[1]Afgrødefordeling - jordtype'!$P12)*(1-Landbrug!$E$5)*Arealanvendelse!P$36</f>
        <v>1461.2011003283492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21.845098323620871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250.48407909880524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4.3067286193631373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2.1051038451289652</v>
      </c>
      <c r="R41" s="11">
        <f>IF(Landbrug!$E$47&gt;0,SUMIF(Landbrug!$B$32:$B$45,$B41,IF($R$31=År2,Landbrug!$D$32:$D$45,Landbrug!$E$32:$E$45)),'[1]Afgrødefordeling - jordtype'!$P12)*(Landbrug!$E$5)*Arealanvendelse!P$36</f>
        <v>309.95174855449835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4.6338087353135169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11460.146724373322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197.0414329626538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96.312703873303633</v>
      </c>
      <c r="I42" s="11">
        <f>IF(Landbrug!$E$47&gt;0,SUMIF(Landbrug!$B$32:$B$45,$B42,IF($I$31=År2,Landbrug!$D$32:$D$45,Landbrug!$E$32:$E$45)),'[1]Afgrødefordeling - jordtype'!$P13)*(1-Landbrug!$E$5)*Arealanvendelse!P$36</f>
        <v>10433.684555973852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155.98459715892352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1788.5778124744493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30.752131156021115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15.031462454215021</v>
      </c>
      <c r="R42" s="11">
        <f>IF(Landbrug!$E$47&gt;0,SUMIF(Landbrug!$B$32:$B$45,$B42,IF($R$31=År2,Landbrug!$D$32:$D$45,Landbrug!$E$32:$E$45)),'[1]Afgrødefordeling - jordtype'!$P13)*(Landbrug!$E$5)*Arealanvendelse!P$36</f>
        <v>2213.2058149035443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33.087641821589841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35457.355952106635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1430.5114592593595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901.3113802822603</v>
      </c>
      <c r="I43" s="11">
        <f>IF(Landbrug!$E$47&gt;0,SUMIF(Landbrug!$B$32:$B$45,$B43,IF($I$31=År2,Landbrug!$D$32:$D$45,Landbrug!$E$32:$E$45)),'[1]Afgrødefordeling - jordtype'!$P14)*(1-Landbrug!$E$5)*Arealanvendelse!P$36</f>
        <v>32281.512278228936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1132.4407783112672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5533.8069983056603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223.25901387284802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140.66709403249149</v>
      </c>
      <c r="R43" s="11">
        <f>IF(Landbrug!$E$47&gt;0,SUMIF(Landbrug!$B$32:$B$45,$B43,IF($R$31=År2,Landbrug!$D$32:$D$45,Landbrug!$E$32:$E$45)),'[1]Afgrødefordeling - jordtype'!$P14)*(Landbrug!$E$5)*Arealanvendelse!P$36</f>
        <v>6847.5935135637137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240.21471055087486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2514.9530700143437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43.241152898637949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21.136023483224019</v>
      </c>
      <c r="I44" s="11">
        <f>IF(Landbrug!$E$47&gt;0,SUMIF(Landbrug!$B$32:$B$45,$B44,IF($I$31=År2,Landbrug!$D$32:$D$45,Landbrug!$E$32:$E$45)),'[1]Afgrødefordeling - jordtype'!$P15)*(1-Landbrug!$E$5)*Arealanvendelse!P$36</f>
        <v>2289.6938090504755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34.231144760604046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392.50712653403053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6.74861923851575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3.2986857459366963</v>
      </c>
      <c r="R44" s="11">
        <f>IF(Landbrug!$E$47&gt;0,SUMIF(Landbrug!$B$32:$B$45,$B44,IF($R$31=År2,Landbrug!$D$32:$D$45,Landbrug!$E$32:$E$45)),'[1]Afgrødefordeling - jordtype'!$P15)*(Landbrug!$E$5)*Arealanvendelse!P$36</f>
        <v>485.6926261622221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7.261151918916009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1195.4478510811762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91.773876584838561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64.473732983194068</v>
      </c>
      <c r="I45" s="11">
        <f>IF(Landbrug!$E$47&gt;0,SUMIF(Landbrug!$B$32:$B$45,$B45,IF($I$31=År2,Landbrug!$D$32:$D$45,Landbrug!$E$32:$E$45)),'[1]Afgrødefordeling - jordtype'!$P16)*(1-Landbrug!$E$5)*Arealanvendelse!P$36</f>
        <v>1088.3740043895341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72.651274168880292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186.57278600688875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14.323090565263824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10.062374511827977</v>
      </c>
      <c r="R45" s="11">
        <f>IF(Landbrug!$E$47&gt;0,SUMIF(Landbrug!$B$32:$B$45,$B45,IF($R$31=År2,Landbrug!$D$32:$D$45,Landbrug!$E$32:$E$45)),'[1]Afgrødefordeling - jordtype'!$P16)*(Landbrug!$E$5)*Arealanvendelse!P$36</f>
        <v>230.86721305232541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15.410876338853395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29775.268629829476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2659.7407767838267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2242.1606682189854</v>
      </c>
      <c r="I46" s="11">
        <f>IF(Landbrug!$E$47&gt;0,SUMIF(Landbrug!$B$32:$B$45,$B46,IF($I$31=År2,Landbrug!$D$32:$D$45,Landbrug!$E$32:$E$45)),'[1]Afgrødefordeling - jordtype'!$P17)*(1-Landbrug!$E$5)*Arealanvendelse!P$36</f>
        <v>27108.358027589973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2105.5398723801477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4647.0072428057565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415.10405186799608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349.9325898376452</v>
      </c>
      <c r="R46" s="11">
        <f>IF(Landbrug!$E$47&gt;0,SUMIF(Landbrug!$B$32:$B$45,$B46,IF($R$31=År2,Landbrug!$D$32:$D$45,Landbrug!$E$32:$E$45)),'[1]Afgrødefordeling - jordtype'!$P17)*(Landbrug!$E$5)*Arealanvendelse!P$36</f>
        <v>5750.2577634281761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446.6296698988192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464949.53000949981</v>
      </c>
      <c r="G47" s="37">
        <f t="shared" si="3"/>
        <v>10818.781252674898</v>
      </c>
      <c r="H47" s="37">
        <f t="shared" si="3"/>
        <v>6609.2625733882014</v>
      </c>
      <c r="I47" s="37">
        <f t="shared" si="3"/>
        <v>423304.94078667171</v>
      </c>
      <c r="J47" s="37">
        <f t="shared" si="3"/>
        <v>8564.5095555555563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72564.377515933491</v>
      </c>
      <c r="P47" s="37">
        <f t="shared" si="3"/>
        <v>1688.4803111111114</v>
      </c>
      <c r="Q47" s="37">
        <f t="shared" si="3"/>
        <v>1031.5034074074074</v>
      </c>
      <c r="R47" s="37">
        <f t="shared" si="3"/>
        <v>89791.957136566692</v>
      </c>
      <c r="S47" s="37">
        <f t="shared" si="3"/>
        <v>1816.7141481481481</v>
      </c>
      <c r="T47" s="38">
        <f t="shared" si="3"/>
        <v>0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32" t="s">
        <v>7</v>
      </c>
      <c r="D49" s="433"/>
      <c r="E49" s="434"/>
      <c r="F49" s="435" t="s">
        <v>8</v>
      </c>
      <c r="G49" s="433"/>
      <c r="H49" s="434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1532729.9904525669</v>
      </c>
      <c r="E51" s="22">
        <f>SUM([1]Dyrehold!$E$22:$E$23)-H51</f>
        <v>1517250.402620316</v>
      </c>
      <c r="F51" s="49">
        <f>SUM([1]Dyrehold!C58:D61)</f>
        <v>15447</v>
      </c>
      <c r="G51" s="11">
        <f>$F51/Landbrug!$C6*Landbrug!D6</f>
        <v>23819.009547433063</v>
      </c>
      <c r="H51" s="22">
        <f>$F51/Landbrug!$C6*Landbrug!E6</f>
        <v>39298.597379684077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80080.142534636136</v>
      </c>
      <c r="E52" s="22">
        <f>SUM([1]Dyrehold!$D$22:$D$23)-H52</f>
        <v>75689.10421630925</v>
      </c>
      <c r="F52" s="49">
        <f>SUM([1]Dyrehold!C36:D51)</f>
        <v>16513</v>
      </c>
      <c r="G52" s="11">
        <f>$F52/Landbrug!$C7*Landbrug!D7</f>
        <v>18887.857465363868</v>
      </c>
      <c r="H52" s="22">
        <f>$F52/Landbrug!$C7*Landbrug!E7</f>
        <v>23278.89578369075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1537834.5897597643</v>
      </c>
      <c r="E53" s="23">
        <f>SUM([1]Dyrehold!$F$22:$F$23)-H53</f>
        <v>1477326.3140238035</v>
      </c>
      <c r="F53" s="50">
        <f>SUM([1]Dyrehold!C65:D78)</f>
        <v>214987</v>
      </c>
      <c r="G53" s="15">
        <f>$F53/Landbrug!$C8*Landbrug!D8</f>
        <v>247712.41024023574</v>
      </c>
      <c r="H53" s="23">
        <f>$F53/Landbrug!$C8*Landbrug!E8</f>
        <v>308220.6859761966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7" width="11.28515625" bestFit="1" customWidth="1"/>
    <col min="38" max="38" width="7.5703125" bestFit="1" customWidth="1"/>
    <col min="39" max="39" width="9.85546875" bestFit="1" customWidth="1"/>
    <col min="40" max="40" width="11.8554687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37" x14ac:dyDescent="0.25">
      <c r="A3" s="75" t="s">
        <v>174</v>
      </c>
      <c r="B3" s="75" t="s">
        <v>62</v>
      </c>
    </row>
    <row r="4" spans="1:37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238</v>
      </c>
      <c r="AG4" t="s">
        <v>231</v>
      </c>
      <c r="AH4" t="s">
        <v>110</v>
      </c>
      <c r="AI4" t="s">
        <v>115</v>
      </c>
      <c r="AJ4" t="s">
        <v>118</v>
      </c>
      <c r="AK4" t="s">
        <v>61</v>
      </c>
    </row>
    <row r="5" spans="1:37" x14ac:dyDescent="0.25">
      <c r="A5" s="76" t="s">
        <v>109</v>
      </c>
      <c r="B5" s="216"/>
      <c r="C5" s="216"/>
      <c r="D5" s="216">
        <v>729134</v>
      </c>
      <c r="E5" s="216">
        <v>5537430.4584002011</v>
      </c>
      <c r="F5" s="216"/>
      <c r="G5" s="216">
        <v>19628.463153389632</v>
      </c>
      <c r="H5" s="216"/>
      <c r="I5" s="216"/>
      <c r="J5" s="216">
        <v>428226</v>
      </c>
      <c r="K5" s="216">
        <v>85676.999999999956</v>
      </c>
      <c r="L5" s="216"/>
      <c r="M5" s="216">
        <v>75933.999999999971</v>
      </c>
      <c r="N5" s="216">
        <v>1730078</v>
      </c>
      <c r="O5" s="216"/>
      <c r="P5" s="216">
        <v>995654</v>
      </c>
      <c r="Q5" s="216"/>
      <c r="R5" s="216">
        <v>3786</v>
      </c>
      <c r="S5" s="216">
        <v>27059730.698022246</v>
      </c>
      <c r="T5" s="216"/>
      <c r="U5" s="216">
        <v>330026.00000000006</v>
      </c>
      <c r="V5" s="216"/>
      <c r="W5" s="216"/>
      <c r="X5" s="216"/>
      <c r="Y5" s="216">
        <v>28644.999999999993</v>
      </c>
      <c r="Z5" s="216"/>
      <c r="AA5" s="216">
        <v>15017210.496861221</v>
      </c>
      <c r="AB5" s="216">
        <v>28783929.716581032</v>
      </c>
      <c r="AC5" s="216"/>
      <c r="AD5" s="216"/>
      <c r="AE5" s="216"/>
      <c r="AF5" s="216"/>
      <c r="AG5" s="216"/>
      <c r="AH5" s="216"/>
      <c r="AI5" s="216"/>
      <c r="AJ5" s="216"/>
      <c r="AK5" s="216">
        <v>80825089.833018094</v>
      </c>
    </row>
    <row r="6" spans="1:37" x14ac:dyDescent="0.25">
      <c r="A6" s="77">
        <v>2019</v>
      </c>
      <c r="B6" s="216"/>
      <c r="C6" s="216"/>
      <c r="D6" s="216">
        <v>729134</v>
      </c>
      <c r="E6" s="216">
        <v>757087.00000000012</v>
      </c>
      <c r="F6" s="216"/>
      <c r="G6" s="216">
        <v>4441.5</v>
      </c>
      <c r="H6" s="216"/>
      <c r="I6" s="216"/>
      <c r="J6" s="216">
        <v>142742</v>
      </c>
      <c r="K6" s="216">
        <v>85676.999999999956</v>
      </c>
      <c r="L6" s="216"/>
      <c r="M6" s="216">
        <v>75933.999999999971</v>
      </c>
      <c r="N6" s="216">
        <v>78</v>
      </c>
      <c r="O6" s="216"/>
      <c r="P6" s="216">
        <v>995654</v>
      </c>
      <c r="Q6" s="216"/>
      <c r="R6" s="216">
        <v>3786</v>
      </c>
      <c r="S6" s="216">
        <v>4353509.666666667</v>
      </c>
      <c r="T6" s="216"/>
      <c r="U6" s="216">
        <v>330026.00000000006</v>
      </c>
      <c r="V6" s="216"/>
      <c r="W6" s="216"/>
      <c r="X6" s="216"/>
      <c r="Y6" s="216">
        <v>28644.999999999993</v>
      </c>
      <c r="Z6" s="216"/>
      <c r="AA6" s="216">
        <v>2668834</v>
      </c>
      <c r="AB6" s="216">
        <v>2914869.3333333335</v>
      </c>
      <c r="AC6" s="216"/>
      <c r="AD6" s="216"/>
      <c r="AE6" s="216"/>
      <c r="AF6" s="216"/>
      <c r="AG6" s="216"/>
      <c r="AH6" s="216"/>
      <c r="AI6" s="216"/>
      <c r="AJ6" s="216"/>
      <c r="AK6" s="216">
        <v>13090417.500000002</v>
      </c>
    </row>
    <row r="7" spans="1:37" x14ac:dyDescent="0.25">
      <c r="A7" s="77">
        <v>2030</v>
      </c>
      <c r="B7" s="216"/>
      <c r="C7" s="216"/>
      <c r="D7" s="216">
        <v>0</v>
      </c>
      <c r="E7" s="216">
        <v>2189034.0302520012</v>
      </c>
      <c r="F7" s="216"/>
      <c r="G7" s="216">
        <v>6782.1960455237531</v>
      </c>
      <c r="H7" s="216"/>
      <c r="I7" s="216"/>
      <c r="J7" s="216">
        <v>142742</v>
      </c>
      <c r="K7" s="216">
        <v>0</v>
      </c>
      <c r="L7" s="216"/>
      <c r="M7" s="216">
        <v>0</v>
      </c>
      <c r="N7" s="216">
        <v>750000</v>
      </c>
      <c r="O7" s="216"/>
      <c r="P7" s="216">
        <v>0</v>
      </c>
      <c r="Q7" s="216"/>
      <c r="R7" s="216">
        <v>0</v>
      </c>
      <c r="S7" s="216">
        <v>10429714.413001494</v>
      </c>
      <c r="T7" s="216"/>
      <c r="U7" s="216">
        <v>0</v>
      </c>
      <c r="V7" s="216"/>
      <c r="W7" s="216"/>
      <c r="X7" s="216"/>
      <c r="Y7" s="216">
        <v>0</v>
      </c>
      <c r="Z7" s="216"/>
      <c r="AA7" s="216">
        <v>5488473.8162016999</v>
      </c>
      <c r="AB7" s="216">
        <v>12485034.123782061</v>
      </c>
      <c r="AC7" s="216"/>
      <c r="AD7" s="216"/>
      <c r="AE7" s="216"/>
      <c r="AF7" s="216"/>
      <c r="AG7" s="216"/>
      <c r="AH7" s="216"/>
      <c r="AI7" s="216"/>
      <c r="AJ7" s="216"/>
      <c r="AK7" s="216">
        <v>31491780.579282783</v>
      </c>
    </row>
    <row r="8" spans="1:37" x14ac:dyDescent="0.25">
      <c r="A8" s="77">
        <v>2050</v>
      </c>
      <c r="B8" s="216"/>
      <c r="C8" s="216"/>
      <c r="D8" s="216">
        <v>0</v>
      </c>
      <c r="E8" s="216">
        <v>2591309.4281482003</v>
      </c>
      <c r="F8" s="216"/>
      <c r="G8" s="216">
        <v>8404.7671078658768</v>
      </c>
      <c r="H8" s="216"/>
      <c r="I8" s="216"/>
      <c r="J8" s="216">
        <v>142742</v>
      </c>
      <c r="K8" s="216">
        <v>0</v>
      </c>
      <c r="L8" s="216"/>
      <c r="M8" s="216">
        <v>0</v>
      </c>
      <c r="N8" s="216">
        <v>980000</v>
      </c>
      <c r="O8" s="216"/>
      <c r="P8" s="216">
        <v>0</v>
      </c>
      <c r="Q8" s="216"/>
      <c r="R8" s="216">
        <v>0</v>
      </c>
      <c r="S8" s="216">
        <v>12276506.618354084</v>
      </c>
      <c r="T8" s="216"/>
      <c r="U8" s="216">
        <v>0</v>
      </c>
      <c r="V8" s="216"/>
      <c r="W8" s="216"/>
      <c r="X8" s="216"/>
      <c r="Y8" s="216">
        <v>0</v>
      </c>
      <c r="Z8" s="216"/>
      <c r="AA8" s="216">
        <v>6859902.6806595214</v>
      </c>
      <c r="AB8" s="216">
        <v>13384026.259465635</v>
      </c>
      <c r="AC8" s="216"/>
      <c r="AD8" s="216"/>
      <c r="AE8" s="216"/>
      <c r="AF8" s="216"/>
      <c r="AG8" s="216"/>
      <c r="AH8" s="216"/>
      <c r="AI8" s="216"/>
      <c r="AJ8" s="216"/>
      <c r="AK8" s="216">
        <v>36242891.753735304</v>
      </c>
    </row>
    <row r="9" spans="1:37" x14ac:dyDescent="0.25">
      <c r="A9" s="76" t="s">
        <v>112</v>
      </c>
      <c r="B9" s="216"/>
      <c r="C9" s="216">
        <v>210294.99956339563</v>
      </c>
      <c r="D9" s="216"/>
      <c r="E9" s="216"/>
      <c r="F9" s="216"/>
      <c r="G9" s="216"/>
      <c r="H9" s="216"/>
      <c r="I9" s="216"/>
      <c r="J9" s="216"/>
      <c r="K9" s="216">
        <v>39900555.403271481</v>
      </c>
      <c r="L9" s="216"/>
      <c r="M9" s="216">
        <v>2520619.2308779224</v>
      </c>
      <c r="N9" s="216"/>
      <c r="O9" s="216">
        <v>15742917.328426423</v>
      </c>
      <c r="P9" s="216"/>
      <c r="Q9" s="216">
        <v>0</v>
      </c>
      <c r="R9" s="216">
        <v>19168973.362980071</v>
      </c>
      <c r="S9" s="216"/>
      <c r="T9" s="216">
        <v>4941932.4897397971</v>
      </c>
      <c r="U9" s="216">
        <v>18444623.92003949</v>
      </c>
      <c r="V9" s="216"/>
      <c r="W9" s="216"/>
      <c r="X9" s="216"/>
      <c r="Y9" s="216">
        <v>2742597.2859726176</v>
      </c>
      <c r="Z9" s="216">
        <v>128513.61084429733</v>
      </c>
      <c r="AA9" s="216"/>
      <c r="AB9" s="216"/>
      <c r="AC9" s="216"/>
      <c r="AD9" s="216"/>
      <c r="AE9" s="216"/>
      <c r="AF9" s="216">
        <v>698062.56799516035</v>
      </c>
      <c r="AG9" s="216"/>
      <c r="AH9" s="216"/>
      <c r="AI9" s="216"/>
      <c r="AJ9" s="216"/>
      <c r="AK9" s="216">
        <v>104499090.19971065</v>
      </c>
    </row>
    <row r="10" spans="1:37" x14ac:dyDescent="0.25">
      <c r="A10" s="77">
        <v>2019</v>
      </c>
      <c r="B10" s="216"/>
      <c r="C10" s="216">
        <v>72415.092228932088</v>
      </c>
      <c r="D10" s="216"/>
      <c r="E10" s="216"/>
      <c r="F10" s="216"/>
      <c r="G10" s="216"/>
      <c r="H10" s="216"/>
      <c r="I10" s="216"/>
      <c r="J10" s="216"/>
      <c r="K10" s="216">
        <v>13739757.985270014</v>
      </c>
      <c r="L10" s="216"/>
      <c r="M10" s="216">
        <v>867975.34157733875</v>
      </c>
      <c r="N10" s="216"/>
      <c r="O10" s="216">
        <v>5421074.2654714445</v>
      </c>
      <c r="P10" s="216"/>
      <c r="Q10" s="216">
        <v>0</v>
      </c>
      <c r="R10" s="216">
        <v>6600836.8097011279</v>
      </c>
      <c r="S10" s="216"/>
      <c r="T10" s="216">
        <v>1701754.6673799041</v>
      </c>
      <c r="U10" s="216">
        <v>6351407.0475792512</v>
      </c>
      <c r="V10" s="216"/>
      <c r="W10" s="216"/>
      <c r="X10" s="216"/>
      <c r="Y10" s="216">
        <v>944413.49448565592</v>
      </c>
      <c r="Z10" s="216">
        <v>44253.667473236274</v>
      </c>
      <c r="AA10" s="216"/>
      <c r="AB10" s="216"/>
      <c r="AC10" s="216"/>
      <c r="AD10" s="216"/>
      <c r="AE10" s="216"/>
      <c r="AF10" s="216">
        <v>240377.87559326066</v>
      </c>
      <c r="AG10" s="216"/>
      <c r="AH10" s="216"/>
      <c r="AI10" s="216"/>
      <c r="AJ10" s="216"/>
      <c r="AK10" s="216">
        <v>35984266.24676016</v>
      </c>
    </row>
    <row r="11" spans="1:37" x14ac:dyDescent="0.25">
      <c r="A11" s="77">
        <v>2030</v>
      </c>
      <c r="B11" s="216"/>
      <c r="C11" s="216">
        <v>70594.781553755733</v>
      </c>
      <c r="D11" s="216"/>
      <c r="E11" s="216"/>
      <c r="F11" s="216"/>
      <c r="G11" s="216"/>
      <c r="H11" s="216"/>
      <c r="I11" s="216"/>
      <c r="J11" s="216"/>
      <c r="K11" s="216">
        <v>13394379.31674801</v>
      </c>
      <c r="L11" s="216"/>
      <c r="M11" s="216">
        <v>846156.89556793321</v>
      </c>
      <c r="N11" s="216"/>
      <c r="O11" s="216">
        <v>5284803.7857603254</v>
      </c>
      <c r="P11" s="216"/>
      <c r="Q11" s="216">
        <v>0</v>
      </c>
      <c r="R11" s="216">
        <v>6434910.4352402603</v>
      </c>
      <c r="S11" s="216"/>
      <c r="T11" s="216">
        <v>1658977.3665132597</v>
      </c>
      <c r="U11" s="216">
        <v>6191750.632110659</v>
      </c>
      <c r="V11" s="216"/>
      <c r="W11" s="216"/>
      <c r="X11" s="216"/>
      <c r="Y11" s="216">
        <v>920673.60943023092</v>
      </c>
      <c r="Z11" s="216">
        <v>43141.255393961845</v>
      </c>
      <c r="AA11" s="216"/>
      <c r="AB11" s="216"/>
      <c r="AC11" s="216"/>
      <c r="AD11" s="216"/>
      <c r="AE11" s="216"/>
      <c r="AF11" s="216">
        <v>234335.4554353836</v>
      </c>
      <c r="AG11" s="216"/>
      <c r="AH11" s="216"/>
      <c r="AI11" s="216"/>
      <c r="AJ11" s="216"/>
      <c r="AK11" s="216">
        <v>35079723.533753775</v>
      </c>
    </row>
    <row r="12" spans="1:37" x14ac:dyDescent="0.25">
      <c r="A12" s="77">
        <v>2050</v>
      </c>
      <c r="B12" s="216"/>
      <c r="C12" s="216">
        <v>67285.125780707793</v>
      </c>
      <c r="D12" s="216"/>
      <c r="E12" s="216"/>
      <c r="F12" s="216"/>
      <c r="G12" s="216"/>
      <c r="H12" s="216"/>
      <c r="I12" s="216"/>
      <c r="J12" s="216"/>
      <c r="K12" s="216">
        <v>12766418.101253457</v>
      </c>
      <c r="L12" s="216"/>
      <c r="M12" s="216">
        <v>806486.99373265042</v>
      </c>
      <c r="N12" s="216"/>
      <c r="O12" s="216">
        <v>5037039.2771946527</v>
      </c>
      <c r="P12" s="216"/>
      <c r="Q12" s="216">
        <v>0</v>
      </c>
      <c r="R12" s="216">
        <v>6133226.1180386841</v>
      </c>
      <c r="S12" s="216"/>
      <c r="T12" s="216">
        <v>1581200.4558466333</v>
      </c>
      <c r="U12" s="216">
        <v>5901466.2403495796</v>
      </c>
      <c r="V12" s="216"/>
      <c r="W12" s="216"/>
      <c r="X12" s="216"/>
      <c r="Y12" s="216">
        <v>877510.18205673085</v>
      </c>
      <c r="Z12" s="216">
        <v>41118.687977099209</v>
      </c>
      <c r="AA12" s="216"/>
      <c r="AB12" s="216"/>
      <c r="AC12" s="216"/>
      <c r="AD12" s="216"/>
      <c r="AE12" s="216"/>
      <c r="AF12" s="216">
        <v>223349.23696651615</v>
      </c>
      <c r="AG12" s="216"/>
      <c r="AH12" s="216"/>
      <c r="AI12" s="216"/>
      <c r="AJ12" s="216"/>
      <c r="AK12" s="216">
        <v>33435100.419196714</v>
      </c>
    </row>
    <row r="13" spans="1:37" x14ac:dyDescent="0.25">
      <c r="A13" s="76" t="s">
        <v>127</v>
      </c>
      <c r="B13" s="216">
        <v>182574.19618217932</v>
      </c>
      <c r="C13" s="216">
        <v>0</v>
      </c>
      <c r="D13" s="216"/>
      <c r="E13" s="216"/>
      <c r="F13" s="216">
        <v>281468.55244752642</v>
      </c>
      <c r="G13" s="216"/>
      <c r="H13" s="216">
        <v>197788.71253069426</v>
      </c>
      <c r="I13" s="216">
        <v>1445379.0531089196</v>
      </c>
      <c r="J13" s="216"/>
      <c r="K13" s="216"/>
      <c r="L13" s="216">
        <v>1513844.376677237</v>
      </c>
      <c r="M13" s="216"/>
      <c r="N13" s="216"/>
      <c r="O13" s="216"/>
      <c r="P13" s="216"/>
      <c r="Q13" s="216">
        <v>692260.49385742994</v>
      </c>
      <c r="R13" s="216">
        <v>1658382.281988129</v>
      </c>
      <c r="S13" s="216"/>
      <c r="T13" s="216"/>
      <c r="U13" s="216"/>
      <c r="V13" s="216">
        <v>2647325.8446415998</v>
      </c>
      <c r="W13" s="216">
        <v>336392.95646566537</v>
      </c>
      <c r="X13" s="216"/>
      <c r="Y13" s="216"/>
      <c r="Z13" s="216"/>
      <c r="AA13" s="216"/>
      <c r="AB13" s="216"/>
      <c r="AC13" s="216">
        <v>682979.63888483576</v>
      </c>
      <c r="AD13" s="216"/>
      <c r="AE13" s="216"/>
      <c r="AF13" s="216"/>
      <c r="AG13" s="216"/>
      <c r="AH13" s="216"/>
      <c r="AI13" s="216"/>
      <c r="AJ13" s="216"/>
      <c r="AK13" s="216">
        <v>9638396.1067842171</v>
      </c>
    </row>
    <row r="14" spans="1:37" x14ac:dyDescent="0.25">
      <c r="A14" s="77">
        <v>2019</v>
      </c>
      <c r="B14" s="216">
        <v>58403.100598004137</v>
      </c>
      <c r="C14" s="216">
        <v>0</v>
      </c>
      <c r="D14" s="216"/>
      <c r="E14" s="216"/>
      <c r="F14" s="216">
        <v>90038.113421923044</v>
      </c>
      <c r="G14" s="216"/>
      <c r="H14" s="216">
        <v>63270.025647837821</v>
      </c>
      <c r="I14" s="216">
        <v>462357.87973419944</v>
      </c>
      <c r="J14" s="216"/>
      <c r="K14" s="216"/>
      <c r="L14" s="216">
        <v>484259.042458451</v>
      </c>
      <c r="M14" s="216"/>
      <c r="N14" s="216"/>
      <c r="O14" s="216"/>
      <c r="P14" s="216"/>
      <c r="Q14" s="216">
        <v>221445.08976743236</v>
      </c>
      <c r="R14" s="216">
        <v>530494.83043187088</v>
      </c>
      <c r="S14" s="216"/>
      <c r="T14" s="216"/>
      <c r="U14" s="216"/>
      <c r="V14" s="216">
        <v>846844.95867106004</v>
      </c>
      <c r="W14" s="216">
        <v>107607.71285182264</v>
      </c>
      <c r="X14" s="216"/>
      <c r="Y14" s="216"/>
      <c r="Z14" s="216"/>
      <c r="AA14" s="216"/>
      <c r="AB14" s="216"/>
      <c r="AC14" s="216">
        <v>218476.26548703379</v>
      </c>
      <c r="AD14" s="216"/>
      <c r="AE14" s="216"/>
      <c r="AF14" s="216"/>
      <c r="AG14" s="216"/>
      <c r="AH14" s="216"/>
      <c r="AI14" s="216"/>
      <c r="AJ14" s="216"/>
      <c r="AK14" s="216">
        <v>3083197.0190696353</v>
      </c>
    </row>
    <row r="15" spans="1:37" x14ac:dyDescent="0.25">
      <c r="A15" s="77">
        <v>2030</v>
      </c>
      <c r="B15" s="216">
        <v>60789.12467762841</v>
      </c>
      <c r="C15" s="216">
        <v>0</v>
      </c>
      <c r="D15" s="216"/>
      <c r="E15" s="216"/>
      <c r="F15" s="216">
        <v>93716.56721134379</v>
      </c>
      <c r="G15" s="216"/>
      <c r="H15" s="216">
        <v>65854.885067430776</v>
      </c>
      <c r="I15" s="216">
        <v>481247.23703122488</v>
      </c>
      <c r="J15" s="216"/>
      <c r="K15" s="216"/>
      <c r="L15" s="216">
        <v>504043.1587853356</v>
      </c>
      <c r="M15" s="216"/>
      <c r="N15" s="216"/>
      <c r="O15" s="216"/>
      <c r="P15" s="216"/>
      <c r="Q15" s="216">
        <v>230492.09773600774</v>
      </c>
      <c r="R15" s="216">
        <v>552167.88248845807</v>
      </c>
      <c r="S15" s="216"/>
      <c r="T15" s="216"/>
      <c r="U15" s="216"/>
      <c r="V15" s="216">
        <v>881442.3078256119</v>
      </c>
      <c r="W15" s="216">
        <v>112003.96221853035</v>
      </c>
      <c r="X15" s="216"/>
      <c r="Y15" s="216"/>
      <c r="Z15" s="216"/>
      <c r="AA15" s="216"/>
      <c r="AB15" s="216"/>
      <c r="AC15" s="216">
        <v>227401.98389822827</v>
      </c>
      <c r="AD15" s="216"/>
      <c r="AE15" s="216"/>
      <c r="AF15" s="216"/>
      <c r="AG15" s="216"/>
      <c r="AH15" s="216"/>
      <c r="AI15" s="216"/>
      <c r="AJ15" s="216"/>
      <c r="AK15" s="216">
        <v>3209159.2069397997</v>
      </c>
    </row>
    <row r="16" spans="1:37" x14ac:dyDescent="0.25">
      <c r="A16" s="77">
        <v>2050</v>
      </c>
      <c r="B16" s="216">
        <v>63381.970906546776</v>
      </c>
      <c r="C16" s="216">
        <v>0</v>
      </c>
      <c r="D16" s="216"/>
      <c r="E16" s="216"/>
      <c r="F16" s="216">
        <v>97713.871814259604</v>
      </c>
      <c r="G16" s="216"/>
      <c r="H16" s="216">
        <v>68663.801815425672</v>
      </c>
      <c r="I16" s="216">
        <v>501773.93634349527</v>
      </c>
      <c r="J16" s="216"/>
      <c r="K16" s="216"/>
      <c r="L16" s="216">
        <v>525542.17543345026</v>
      </c>
      <c r="M16" s="216"/>
      <c r="N16" s="216"/>
      <c r="O16" s="216"/>
      <c r="P16" s="216"/>
      <c r="Q16" s="216">
        <v>240323.30635398987</v>
      </c>
      <c r="R16" s="216">
        <v>575719.56906779984</v>
      </c>
      <c r="S16" s="216"/>
      <c r="T16" s="216"/>
      <c r="U16" s="216"/>
      <c r="V16" s="216">
        <v>919038.57814492821</v>
      </c>
      <c r="W16" s="216">
        <v>116781.28139531243</v>
      </c>
      <c r="X16" s="216"/>
      <c r="Y16" s="216"/>
      <c r="Z16" s="216"/>
      <c r="AA16" s="216"/>
      <c r="AB16" s="216"/>
      <c r="AC16" s="216">
        <v>237101.38949957371</v>
      </c>
      <c r="AD16" s="216"/>
      <c r="AE16" s="216"/>
      <c r="AF16" s="216"/>
      <c r="AG16" s="216"/>
      <c r="AH16" s="216"/>
      <c r="AI16" s="216"/>
      <c r="AJ16" s="216"/>
      <c r="AK16" s="216">
        <v>3346039.8807747816</v>
      </c>
    </row>
    <row r="17" spans="1:37" x14ac:dyDescent="0.25">
      <c r="A17" s="76" t="s">
        <v>120</v>
      </c>
      <c r="B17" s="216"/>
      <c r="C17" s="216"/>
      <c r="D17" s="216">
        <v>733771.78685234336</v>
      </c>
      <c r="E17" s="216"/>
      <c r="F17" s="216"/>
      <c r="G17" s="216"/>
      <c r="H17" s="216"/>
      <c r="I17" s="216"/>
      <c r="J17" s="216"/>
      <c r="K17" s="216"/>
      <c r="L17" s="216"/>
      <c r="M17" s="216">
        <v>9279345.319846848</v>
      </c>
      <c r="N17" s="216">
        <v>1218349</v>
      </c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>
        <v>603171.33247569925</v>
      </c>
      <c r="AE17" s="216">
        <v>8800578.9441841338</v>
      </c>
      <c r="AF17" s="216"/>
      <c r="AG17" s="216">
        <v>551093.3097614923</v>
      </c>
      <c r="AH17" s="216"/>
      <c r="AI17" s="216"/>
      <c r="AJ17" s="216"/>
      <c r="AK17" s="216">
        <v>21186309.693120517</v>
      </c>
    </row>
    <row r="18" spans="1:37" x14ac:dyDescent="0.25">
      <c r="A18" s="77">
        <v>2019</v>
      </c>
      <c r="B18" s="216"/>
      <c r="C18" s="216"/>
      <c r="D18" s="216">
        <v>0</v>
      </c>
      <c r="E18" s="216"/>
      <c r="F18" s="216"/>
      <c r="G18" s="216"/>
      <c r="H18" s="216"/>
      <c r="I18" s="216"/>
      <c r="J18" s="216"/>
      <c r="K18" s="216"/>
      <c r="L18" s="216"/>
      <c r="M18" s="216">
        <v>1895494.5192748301</v>
      </c>
      <c r="N18" s="216">
        <v>982731</v>
      </c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>
        <v>209867.13867694439</v>
      </c>
      <c r="AE18" s="216">
        <v>3010292.0648196544</v>
      </c>
      <c r="AF18" s="216"/>
      <c r="AG18" s="216">
        <v>112873.31802427149</v>
      </c>
      <c r="AH18" s="216"/>
      <c r="AI18" s="216"/>
      <c r="AJ18" s="216"/>
      <c r="AK18" s="216">
        <v>6211258.0407956997</v>
      </c>
    </row>
    <row r="19" spans="1:37" x14ac:dyDescent="0.25">
      <c r="A19" s="77">
        <v>2030</v>
      </c>
      <c r="B19" s="216"/>
      <c r="C19" s="216"/>
      <c r="D19" s="216">
        <v>363994.97174274386</v>
      </c>
      <c r="E19" s="216"/>
      <c r="F19" s="216"/>
      <c r="G19" s="216"/>
      <c r="H19" s="216"/>
      <c r="I19" s="216"/>
      <c r="J19" s="216"/>
      <c r="K19" s="216"/>
      <c r="L19" s="216"/>
      <c r="M19" s="216">
        <v>3440673.5939957332</v>
      </c>
      <c r="N19" s="216">
        <v>232809.00000000006</v>
      </c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>
        <v>209871.78410050535</v>
      </c>
      <c r="AE19" s="216">
        <v>2864790.7596825948</v>
      </c>
      <c r="AF19" s="216"/>
      <c r="AG19" s="216">
        <v>223178.36661925918</v>
      </c>
      <c r="AH19" s="216"/>
      <c r="AI19" s="216"/>
      <c r="AJ19" s="216"/>
      <c r="AK19" s="216">
        <v>7335318.4761408363</v>
      </c>
    </row>
    <row r="20" spans="1:37" x14ac:dyDescent="0.25">
      <c r="A20" s="77">
        <v>2050</v>
      </c>
      <c r="B20" s="216"/>
      <c r="C20" s="216"/>
      <c r="D20" s="216">
        <v>369776.8151095995</v>
      </c>
      <c r="E20" s="216"/>
      <c r="F20" s="216"/>
      <c r="G20" s="216"/>
      <c r="H20" s="216"/>
      <c r="I20" s="216"/>
      <c r="J20" s="216"/>
      <c r="K20" s="216"/>
      <c r="L20" s="216"/>
      <c r="M20" s="216">
        <v>3943177.206576285</v>
      </c>
      <c r="N20" s="216">
        <v>2808.9999999999418</v>
      </c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>
        <v>183432.40969824954</v>
      </c>
      <c r="AE20" s="216">
        <v>2925496.1196818841</v>
      </c>
      <c r="AF20" s="216"/>
      <c r="AG20" s="216">
        <v>215041.6251179617</v>
      </c>
      <c r="AH20" s="216"/>
      <c r="AI20" s="216"/>
      <c r="AJ20" s="216"/>
      <c r="AK20" s="216">
        <v>7639733.17618398</v>
      </c>
    </row>
    <row r="21" spans="1:37" x14ac:dyDescent="0.25">
      <c r="A21" s="76" t="s">
        <v>164</v>
      </c>
      <c r="B21" s="216"/>
      <c r="C21" s="216"/>
      <c r="D21" s="216">
        <v>0</v>
      </c>
      <c r="E21" s="216"/>
      <c r="F21" s="216"/>
      <c r="G21" s="216"/>
      <c r="H21" s="216"/>
      <c r="I21" s="216"/>
      <c r="J21" s="216"/>
      <c r="K21" s="216"/>
      <c r="L21" s="216"/>
      <c r="M21" s="216">
        <v>0</v>
      </c>
      <c r="N21" s="216">
        <v>0</v>
      </c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>
        <v>0</v>
      </c>
      <c r="AE21" s="216"/>
      <c r="AF21" s="216"/>
      <c r="AG21" s="216">
        <v>104190.75509932752</v>
      </c>
      <c r="AH21" s="216"/>
      <c r="AI21" s="216"/>
      <c r="AJ21" s="216">
        <v>2457092.6309540803</v>
      </c>
      <c r="AK21" s="216">
        <v>2561283.3860534076</v>
      </c>
    </row>
    <row r="22" spans="1:37" x14ac:dyDescent="0.25">
      <c r="A22" s="77">
        <v>2019</v>
      </c>
      <c r="B22" s="216"/>
      <c r="C22" s="216"/>
      <c r="D22" s="216">
        <v>0</v>
      </c>
      <c r="E22" s="216"/>
      <c r="F22" s="216"/>
      <c r="G22" s="216"/>
      <c r="H22" s="216"/>
      <c r="I22" s="216"/>
      <c r="J22" s="216"/>
      <c r="K22" s="216"/>
      <c r="L22" s="216"/>
      <c r="M22" s="216">
        <v>0</v>
      </c>
      <c r="N22" s="216">
        <v>0</v>
      </c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>
        <v>0</v>
      </c>
      <c r="AE22" s="216"/>
      <c r="AF22" s="216"/>
      <c r="AG22" s="216">
        <v>104190.75509932752</v>
      </c>
      <c r="AH22" s="216"/>
      <c r="AI22" s="216"/>
      <c r="AJ22" s="216">
        <v>827707.93518034508</v>
      </c>
      <c r="AK22" s="216">
        <v>931898.69027967262</v>
      </c>
    </row>
    <row r="23" spans="1:37" x14ac:dyDescent="0.25">
      <c r="A23" s="77">
        <v>2030</v>
      </c>
      <c r="B23" s="216"/>
      <c r="C23" s="216"/>
      <c r="D23" s="216">
        <v>0</v>
      </c>
      <c r="E23" s="216"/>
      <c r="F23" s="216"/>
      <c r="G23" s="216"/>
      <c r="H23" s="216"/>
      <c r="I23" s="216"/>
      <c r="J23" s="216"/>
      <c r="K23" s="216"/>
      <c r="L23" s="216"/>
      <c r="M23" s="216">
        <v>0</v>
      </c>
      <c r="N23" s="216">
        <v>0</v>
      </c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>
        <v>0</v>
      </c>
      <c r="AE23" s="216"/>
      <c r="AF23" s="216"/>
      <c r="AG23" s="216">
        <v>0</v>
      </c>
      <c r="AH23" s="216"/>
      <c r="AI23" s="216"/>
      <c r="AJ23" s="216">
        <v>788679.64758670493</v>
      </c>
      <c r="AK23" s="216">
        <v>788679.64758670493</v>
      </c>
    </row>
    <row r="24" spans="1:37" x14ac:dyDescent="0.25">
      <c r="A24" s="77">
        <v>2050</v>
      </c>
      <c r="B24" s="216"/>
      <c r="C24" s="216"/>
      <c r="D24" s="216">
        <v>0</v>
      </c>
      <c r="E24" s="216"/>
      <c r="F24" s="216"/>
      <c r="G24" s="216"/>
      <c r="H24" s="216"/>
      <c r="I24" s="216"/>
      <c r="J24" s="216"/>
      <c r="K24" s="216"/>
      <c r="L24" s="216"/>
      <c r="M24" s="216">
        <v>0</v>
      </c>
      <c r="N24" s="216">
        <v>0</v>
      </c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>
        <v>0</v>
      </c>
      <c r="AE24" s="216"/>
      <c r="AF24" s="216"/>
      <c r="AG24" s="216">
        <v>0</v>
      </c>
      <c r="AH24" s="216"/>
      <c r="AI24" s="216"/>
      <c r="AJ24" s="216">
        <v>840705.04818703001</v>
      </c>
      <c r="AK24" s="216">
        <v>840705.04818703001</v>
      </c>
    </row>
    <row r="25" spans="1:37" x14ac:dyDescent="0.25">
      <c r="A25" s="76" t="s">
        <v>114</v>
      </c>
      <c r="B25" s="216"/>
      <c r="C25" s="216"/>
      <c r="D25" s="216"/>
      <c r="E25" s="216">
        <v>1208999.7630967645</v>
      </c>
      <c r="F25" s="216"/>
      <c r="G25" s="216">
        <v>7636.0950271596812</v>
      </c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>
        <v>14537118.095262064</v>
      </c>
      <c r="T25" s="216"/>
      <c r="U25" s="216"/>
      <c r="V25" s="216"/>
      <c r="W25" s="216"/>
      <c r="X25" s="216"/>
      <c r="Y25" s="216"/>
      <c r="Z25" s="216"/>
      <c r="AA25" s="216"/>
      <c r="AB25" s="216">
        <v>20390922.736756865</v>
      </c>
      <c r="AC25" s="216"/>
      <c r="AD25" s="216"/>
      <c r="AE25" s="216"/>
      <c r="AF25" s="216"/>
      <c r="AG25" s="216"/>
      <c r="AH25" s="216">
        <v>58452760.332225777</v>
      </c>
      <c r="AI25" s="216">
        <v>2635036.3492985531</v>
      </c>
      <c r="AJ25" s="216"/>
      <c r="AK25" s="216">
        <v>97232473.371667176</v>
      </c>
    </row>
    <row r="26" spans="1:37" x14ac:dyDescent="0.25">
      <c r="A26" s="77">
        <v>2019</v>
      </c>
      <c r="B26" s="216"/>
      <c r="C26" s="216"/>
      <c r="D26" s="216"/>
      <c r="E26" s="216">
        <v>823764.99285714305</v>
      </c>
      <c r="F26" s="216"/>
      <c r="G26" s="216">
        <v>4441.5</v>
      </c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>
        <v>9696490.333333334</v>
      </c>
      <c r="T26" s="216"/>
      <c r="U26" s="216"/>
      <c r="V26" s="216"/>
      <c r="W26" s="216"/>
      <c r="X26" s="216"/>
      <c r="Y26" s="216"/>
      <c r="Z26" s="216"/>
      <c r="AA26" s="216"/>
      <c r="AB26" s="216">
        <v>14742130.666666664</v>
      </c>
      <c r="AC26" s="216"/>
      <c r="AD26" s="216"/>
      <c r="AE26" s="216"/>
      <c r="AF26" s="216"/>
      <c r="AG26" s="216"/>
      <c r="AH26" s="216">
        <v>8803491.7355084848</v>
      </c>
      <c r="AI26" s="216">
        <v>944817.29105430027</v>
      </c>
      <c r="AJ26" s="216"/>
      <c r="AK26" s="216">
        <v>35015136.519419931</v>
      </c>
    </row>
    <row r="27" spans="1:37" x14ac:dyDescent="0.25">
      <c r="A27" s="77">
        <v>2030</v>
      </c>
      <c r="B27" s="216"/>
      <c r="C27" s="216"/>
      <c r="D27" s="216"/>
      <c r="E27" s="216">
        <v>276235.24667465733</v>
      </c>
      <c r="F27" s="216"/>
      <c r="G27" s="216">
        <v>2260.7320151745844</v>
      </c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>
        <v>3476571.4710004977</v>
      </c>
      <c r="T27" s="216"/>
      <c r="U27" s="216"/>
      <c r="V27" s="216"/>
      <c r="W27" s="216"/>
      <c r="X27" s="216"/>
      <c r="Y27" s="216"/>
      <c r="Z27" s="216"/>
      <c r="AA27" s="216"/>
      <c r="AB27" s="216">
        <v>4161678.0412606872</v>
      </c>
      <c r="AC27" s="216"/>
      <c r="AD27" s="216"/>
      <c r="AE27" s="216"/>
      <c r="AF27" s="216"/>
      <c r="AG27" s="216"/>
      <c r="AH27" s="216">
        <v>23357523.299669795</v>
      </c>
      <c r="AI27" s="216">
        <v>925665.22791706468</v>
      </c>
      <c r="AJ27" s="216"/>
      <c r="AK27" s="216">
        <v>32199934.018537875</v>
      </c>
    </row>
    <row r="28" spans="1:37" x14ac:dyDescent="0.25">
      <c r="A28" s="77">
        <v>2050</v>
      </c>
      <c r="B28" s="216"/>
      <c r="C28" s="216"/>
      <c r="D28" s="216"/>
      <c r="E28" s="216">
        <v>108999.52356496397</v>
      </c>
      <c r="F28" s="216"/>
      <c r="G28" s="216">
        <v>933.86301198509727</v>
      </c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>
        <v>1364056.2909282311</v>
      </c>
      <c r="T28" s="216"/>
      <c r="U28" s="216"/>
      <c r="V28" s="216"/>
      <c r="W28" s="216"/>
      <c r="X28" s="216"/>
      <c r="Y28" s="216"/>
      <c r="Z28" s="216"/>
      <c r="AA28" s="216"/>
      <c r="AB28" s="216">
        <v>1487114.0288295147</v>
      </c>
      <c r="AC28" s="216"/>
      <c r="AD28" s="216"/>
      <c r="AE28" s="216"/>
      <c r="AF28" s="216"/>
      <c r="AG28" s="216"/>
      <c r="AH28" s="216">
        <v>26291745.297047496</v>
      </c>
      <c r="AI28" s="216">
        <v>764553.83032718813</v>
      </c>
      <c r="AJ28" s="216"/>
      <c r="AK28" s="216">
        <v>30017402.833709378</v>
      </c>
    </row>
    <row r="29" spans="1:37" x14ac:dyDescent="0.25">
      <c r="A29" s="76" t="s">
        <v>237</v>
      </c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>
        <v>2047762.7026900621</v>
      </c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>
        <v>2047762.7026900621</v>
      </c>
    </row>
    <row r="30" spans="1:37" x14ac:dyDescent="0.25">
      <c r="A30" s="77">
        <v>2019</v>
      </c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>
        <v>678325.22851124685</v>
      </c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>
        <v>678325.22851124685</v>
      </c>
    </row>
    <row r="31" spans="1:37" x14ac:dyDescent="0.25">
      <c r="A31" s="77">
        <v>2030</v>
      </c>
      <c r="B31" s="216"/>
      <c r="C31" s="216"/>
      <c r="D31" s="216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>
        <v>697432.39568518498</v>
      </c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>
        <v>697432.39568518498</v>
      </c>
    </row>
    <row r="32" spans="1:37" x14ac:dyDescent="0.25">
      <c r="A32" s="77">
        <v>2050</v>
      </c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>
        <v>672005.07849363028</v>
      </c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>
        <v>672005.07849363028</v>
      </c>
    </row>
    <row r="33" spans="1:37" x14ac:dyDescent="0.25">
      <c r="A33" s="76" t="s">
        <v>61</v>
      </c>
      <c r="B33" s="216">
        <v>182574.19618217932</v>
      </c>
      <c r="C33" s="216">
        <v>210294.99956339563</v>
      </c>
      <c r="D33" s="216">
        <v>1462905.7868523435</v>
      </c>
      <c r="E33" s="216">
        <v>6746430.2214969648</v>
      </c>
      <c r="F33" s="216">
        <v>281468.55244752642</v>
      </c>
      <c r="G33" s="216">
        <v>27264.558180549313</v>
      </c>
      <c r="H33" s="216">
        <v>197788.71253069426</v>
      </c>
      <c r="I33" s="216">
        <v>1445379.0531089196</v>
      </c>
      <c r="J33" s="216">
        <v>428226</v>
      </c>
      <c r="K33" s="216">
        <v>39986232.403271481</v>
      </c>
      <c r="L33" s="216">
        <v>1513844.376677237</v>
      </c>
      <c r="M33" s="216">
        <v>11875898.550724771</v>
      </c>
      <c r="N33" s="216">
        <v>2948427</v>
      </c>
      <c r="O33" s="216">
        <v>15742917.328426423</v>
      </c>
      <c r="P33" s="216">
        <v>995654</v>
      </c>
      <c r="Q33" s="216">
        <v>692260.49385742994</v>
      </c>
      <c r="R33" s="216">
        <v>20831141.6449682</v>
      </c>
      <c r="S33" s="216">
        <v>41596848.793284312</v>
      </c>
      <c r="T33" s="216">
        <v>4941932.4897397971</v>
      </c>
      <c r="U33" s="216">
        <v>18774649.92003949</v>
      </c>
      <c r="V33" s="216">
        <v>2647325.8446415998</v>
      </c>
      <c r="W33" s="216">
        <v>336392.95646566537</v>
      </c>
      <c r="X33" s="216">
        <v>2047762.7026900621</v>
      </c>
      <c r="Y33" s="216">
        <v>2771242.2859726176</v>
      </c>
      <c r="Z33" s="216">
        <v>128513.61084429733</v>
      </c>
      <c r="AA33" s="216">
        <v>15017210.496861221</v>
      </c>
      <c r="AB33" s="216">
        <v>49174852.4533379</v>
      </c>
      <c r="AC33" s="216">
        <v>682979.63888483576</v>
      </c>
      <c r="AD33" s="216">
        <v>603171.33247569925</v>
      </c>
      <c r="AE33" s="216">
        <v>8800578.9441841338</v>
      </c>
      <c r="AF33" s="216">
        <v>698062.56799516035</v>
      </c>
      <c r="AG33" s="216">
        <v>655284.06486081984</v>
      </c>
      <c r="AH33" s="216">
        <v>58452760.332225777</v>
      </c>
      <c r="AI33" s="216">
        <v>2635036.3492985531</v>
      </c>
      <c r="AJ33" s="216">
        <v>2457092.6309540803</v>
      </c>
      <c r="AK33" s="216">
        <v>317990405.29304415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13.140625" bestFit="1" customWidth="1"/>
    <col min="12" max="12" width="10.140625" bestFit="1" customWidth="1"/>
    <col min="13" max="13" width="8.85546875" bestFit="1" customWidth="1"/>
    <col min="14" max="14" width="14.5703125" bestFit="1" customWidth="1"/>
    <col min="15" max="15" width="9.285156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5" t="s">
        <v>278</v>
      </c>
      <c r="B2" s="76">
        <v>1</v>
      </c>
    </row>
    <row r="4" spans="1:10" x14ac:dyDescent="0.25">
      <c r="A4" s="75" t="s">
        <v>305</v>
      </c>
      <c r="B4" s="75" t="s">
        <v>62</v>
      </c>
    </row>
    <row r="5" spans="1:10" x14ac:dyDescent="0.25">
      <c r="A5" s="75" t="s">
        <v>60</v>
      </c>
      <c r="B5" t="s">
        <v>102</v>
      </c>
      <c r="C5" t="s">
        <v>6</v>
      </c>
      <c r="D5" t="s">
        <v>103</v>
      </c>
      <c r="E5" t="s">
        <v>115</v>
      </c>
      <c r="F5" t="s">
        <v>14</v>
      </c>
      <c r="G5" t="s">
        <v>158</v>
      </c>
      <c r="H5" t="s">
        <v>54</v>
      </c>
      <c r="I5" t="s">
        <v>159</v>
      </c>
      <c r="J5" t="s">
        <v>61</v>
      </c>
    </row>
    <row r="6" spans="1:10" x14ac:dyDescent="0.25">
      <c r="A6" s="76">
        <v>2019</v>
      </c>
      <c r="B6" s="74">
        <v>370459.67448149773</v>
      </c>
      <c r="C6" s="74">
        <v>203936.60569913458</v>
      </c>
      <c r="D6" s="74">
        <v>282332.03034110228</v>
      </c>
      <c r="E6" s="74">
        <v>944817.29105430027</v>
      </c>
      <c r="F6" s="74">
        <v>0</v>
      </c>
      <c r="G6" s="74">
        <v>142742</v>
      </c>
      <c r="H6" s="74">
        <v>420628.93071698514</v>
      </c>
      <c r="I6" s="74">
        <v>5421074.2654714445</v>
      </c>
      <c r="J6" s="74">
        <v>7785990.7977644643</v>
      </c>
    </row>
    <row r="7" spans="1:10" x14ac:dyDescent="0.25">
      <c r="A7" s="76">
        <v>2030</v>
      </c>
      <c r="B7" s="74">
        <v>0</v>
      </c>
      <c r="C7" s="74">
        <v>214730.89604157759</v>
      </c>
      <c r="D7" s="74">
        <v>0</v>
      </c>
      <c r="E7" s="74">
        <v>925665.22791706468</v>
      </c>
      <c r="F7" s="74">
        <v>0</v>
      </c>
      <c r="G7" s="74">
        <v>142742</v>
      </c>
      <c r="H7" s="74">
        <v>438365.53046636889</v>
      </c>
      <c r="I7" s="74">
        <v>5284803.7857603254</v>
      </c>
      <c r="J7" s="74">
        <v>7006307.4401853364</v>
      </c>
    </row>
    <row r="8" spans="1:10" x14ac:dyDescent="0.25">
      <c r="A8" s="76">
        <v>2050</v>
      </c>
      <c r="B8" s="74">
        <v>0</v>
      </c>
      <c r="C8" s="74">
        <v>242414.90437786453</v>
      </c>
      <c r="D8" s="74">
        <v>0</v>
      </c>
      <c r="E8" s="74">
        <v>764553.83032718813</v>
      </c>
      <c r="F8" s="74">
        <v>6687.6021110492293</v>
      </c>
      <c r="G8" s="74">
        <v>142742</v>
      </c>
      <c r="H8" s="74">
        <v>460568.82999267662</v>
      </c>
      <c r="I8" s="74">
        <v>5037039.2771946527</v>
      </c>
      <c r="J8" s="74">
        <v>6654006.4440034311</v>
      </c>
    </row>
    <row r="9" spans="1:10" x14ac:dyDescent="0.25">
      <c r="A9" s="76" t="s">
        <v>61</v>
      </c>
      <c r="B9" s="74">
        <v>370459.67448149773</v>
      </c>
      <c r="C9" s="74">
        <v>661082.40611857676</v>
      </c>
      <c r="D9" s="74">
        <v>282332.03034110228</v>
      </c>
      <c r="E9" s="74">
        <v>2635036.3492985531</v>
      </c>
      <c r="F9" s="74">
        <v>6687.6021110492293</v>
      </c>
      <c r="G9" s="74">
        <v>428226</v>
      </c>
      <c r="H9" s="74">
        <v>1319563.2911760306</v>
      </c>
      <c r="I9" s="74">
        <v>15742917.328426423</v>
      </c>
      <c r="J9" s="74">
        <v>21446304.681953229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A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9.140625" bestFit="1" customWidth="1"/>
    <col min="4" max="4" width="11" bestFit="1" customWidth="1"/>
    <col min="5" max="5" width="11.5703125" bestFit="1" customWidth="1"/>
    <col min="6" max="6" width="11.140625" bestFit="1" customWidth="1"/>
    <col min="7" max="7" width="9.85546875" bestFit="1" customWidth="1"/>
    <col min="8" max="8" width="11" bestFit="1" customWidth="1"/>
    <col min="9" max="9" width="13.140625" bestFit="1" customWidth="1"/>
    <col min="10" max="11" width="9.85546875" bestFit="1" customWidth="1"/>
    <col min="12" max="12" width="13.85546875" bestFit="1" customWidth="1"/>
    <col min="13" max="13" width="9.85546875" bestFit="1" customWidth="1"/>
    <col min="14" max="14" width="16" bestFit="1" customWidth="1"/>
    <col min="15" max="15" width="10" bestFit="1" customWidth="1"/>
    <col min="16" max="16" width="8.7109375" bestFit="1" customWidth="1"/>
    <col min="17" max="17" width="11" bestFit="1" customWidth="1"/>
    <col min="18" max="18" width="9.85546875" bestFit="1" customWidth="1"/>
    <col min="19" max="19" width="21" bestFit="1" customWidth="1"/>
    <col min="20" max="20" width="20.7109375" bestFit="1" customWidth="1"/>
    <col min="21" max="21" width="9.85546875" bestFit="1" customWidth="1"/>
    <col min="22" max="22" width="5.140625" bestFit="1" customWidth="1"/>
    <col min="23" max="23" width="16" bestFit="1" customWidth="1"/>
    <col min="24" max="25" width="9.85546875" bestFit="1" customWidth="1"/>
    <col min="26" max="26" width="9.28515625" bestFit="1" customWidth="1"/>
    <col min="27" max="27" width="12" bestFit="1" customWidth="1"/>
    <col min="28" max="28" width="10.140625" bestFit="1" customWidth="1"/>
    <col min="29" max="31" width="11.28515625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27" x14ac:dyDescent="0.25">
      <c r="A2" s="75" t="s">
        <v>300</v>
      </c>
      <c r="B2" s="76">
        <v>1</v>
      </c>
    </row>
    <row r="4" spans="1:27" x14ac:dyDescent="0.25">
      <c r="A4" s="75" t="s">
        <v>252</v>
      </c>
      <c r="B4" s="75" t="s">
        <v>62</v>
      </c>
    </row>
    <row r="5" spans="1:27" x14ac:dyDescent="0.25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103</v>
      </c>
      <c r="J5" t="s">
        <v>12</v>
      </c>
      <c r="K5" t="s">
        <v>48</v>
      </c>
      <c r="L5" t="s">
        <v>108</v>
      </c>
      <c r="M5" t="s">
        <v>53</v>
      </c>
      <c r="N5" t="s">
        <v>116</v>
      </c>
      <c r="O5" t="s">
        <v>106</v>
      </c>
      <c r="P5" t="s">
        <v>14</v>
      </c>
      <c r="Q5" t="s">
        <v>117</v>
      </c>
      <c r="R5" t="s">
        <v>52</v>
      </c>
      <c r="S5" t="s">
        <v>121</v>
      </c>
      <c r="T5" t="s">
        <v>107</v>
      </c>
      <c r="U5" t="s">
        <v>13</v>
      </c>
      <c r="V5" t="s">
        <v>99</v>
      </c>
      <c r="W5" t="s">
        <v>140</v>
      </c>
      <c r="X5" t="s">
        <v>56</v>
      </c>
      <c r="Y5" t="s">
        <v>55</v>
      </c>
      <c r="Z5" t="s">
        <v>238</v>
      </c>
      <c r="AA5" t="s">
        <v>61</v>
      </c>
    </row>
    <row r="6" spans="1:27" x14ac:dyDescent="0.25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>
        <v>2041731.0676095125</v>
      </c>
      <c r="K6" s="94">
        <v>1976968.2090253732</v>
      </c>
      <c r="L6" s="94">
        <v>51892.132620096323</v>
      </c>
      <c r="M6" s="94">
        <v>1274488.0820395502</v>
      </c>
      <c r="N6" s="94">
        <v>2536783.2413289398</v>
      </c>
      <c r="O6" s="94">
        <v>880.09999999999991</v>
      </c>
      <c r="P6" s="94">
        <v>8064.2063400965635</v>
      </c>
      <c r="Q6" s="94">
        <v>5269000</v>
      </c>
      <c r="R6" s="94">
        <v>1637775.5474174484</v>
      </c>
      <c r="S6" s="94">
        <v>217010.36743552322</v>
      </c>
      <c r="T6" s="94">
        <v>105946.31157195524</v>
      </c>
      <c r="U6" s="94">
        <v>1382651.4311789067</v>
      </c>
      <c r="V6" s="94">
        <v>76.5</v>
      </c>
      <c r="W6" s="94">
        <v>4368323.901678659</v>
      </c>
      <c r="X6" s="94">
        <v>912099.45136908058</v>
      </c>
      <c r="Y6" s="94">
        <v>2006067.2488276002</v>
      </c>
      <c r="Z6" s="94">
        <v>98784.738662362797</v>
      </c>
      <c r="AA6" s="94">
        <v>34594970.783268616</v>
      </c>
    </row>
    <row r="7" spans="1:27" x14ac:dyDescent="0.25">
      <c r="A7" s="76">
        <v>2030</v>
      </c>
      <c r="B7" s="94">
        <v>170946.30461315686</v>
      </c>
      <c r="C7" s="94">
        <v>221734.27469450119</v>
      </c>
      <c r="D7" s="94">
        <v>5592870.5868648645</v>
      </c>
      <c r="E7" s="94">
        <v>453442.76340934308</v>
      </c>
      <c r="F7" s="94">
        <v>131018.05015567706</v>
      </c>
      <c r="G7" s="94">
        <v>1536609.9114825001</v>
      </c>
      <c r="H7" s="94">
        <v>4574065.475491859</v>
      </c>
      <c r="I7" s="94">
        <v>718058.01774869044</v>
      </c>
      <c r="J7" s="94">
        <v>2074886.4977874923</v>
      </c>
      <c r="K7" s="94">
        <v>2389282.9756574854</v>
      </c>
      <c r="L7" s="94">
        <v>77227.032746996076</v>
      </c>
      <c r="M7" s="94">
        <v>2001163.0190917293</v>
      </c>
      <c r="N7" s="94">
        <v>2468531.1111667752</v>
      </c>
      <c r="O7" s="94">
        <v>880.09999999999991</v>
      </c>
      <c r="P7" s="94">
        <v>1709.9716434609509</v>
      </c>
      <c r="Q7" s="94">
        <v>5216592.6341052745</v>
      </c>
      <c r="R7" s="94">
        <v>1794004.4501021868</v>
      </c>
      <c r="S7" s="94">
        <v>208732.58409629596</v>
      </c>
      <c r="T7" s="94">
        <v>99849.781295313049</v>
      </c>
      <c r="U7" s="94">
        <v>1294298.8490218334</v>
      </c>
      <c r="V7" s="94">
        <v>382.5</v>
      </c>
      <c r="W7" s="94">
        <v>1829491.2720672335</v>
      </c>
      <c r="X7" s="94">
        <v>933739.34333929513</v>
      </c>
      <c r="Y7" s="94">
        <v>2055003.2426024945</v>
      </c>
      <c r="Z7" s="94">
        <v>114380.74240720889</v>
      </c>
      <c r="AA7" s="94">
        <v>35958901.491591685</v>
      </c>
    </row>
    <row r="8" spans="1:27" x14ac:dyDescent="0.25">
      <c r="A8" s="76">
        <v>2050</v>
      </c>
      <c r="B8" s="94">
        <v>162317.36767727343</v>
      </c>
      <c r="C8" s="94">
        <v>210893.10462341903</v>
      </c>
      <c r="D8" s="94">
        <v>7026345.0921613742</v>
      </c>
      <c r="E8" s="94">
        <v>178923.74622928078</v>
      </c>
      <c r="F8" s="94">
        <v>119570.06432731522</v>
      </c>
      <c r="G8" s="94">
        <v>1433074.1712037951</v>
      </c>
      <c r="H8" s="94">
        <v>2982756.1787720933</v>
      </c>
      <c r="I8" s="94">
        <v>700822.02997791977</v>
      </c>
      <c r="J8" s="94">
        <v>1912897.876041021</v>
      </c>
      <c r="K8" s="94">
        <v>2313891.3389375592</v>
      </c>
      <c r="L8" s="94">
        <v>122753.48159481354</v>
      </c>
      <c r="M8" s="94">
        <v>1964071.9525106091</v>
      </c>
      <c r="N8" s="94">
        <v>2368708.1871831375</v>
      </c>
      <c r="O8" s="94">
        <v>880.09999999999991</v>
      </c>
      <c r="P8" s="94"/>
      <c r="Q8" s="94">
        <v>5119693.0284815514</v>
      </c>
      <c r="R8" s="94">
        <v>1830597.0172306281</v>
      </c>
      <c r="S8" s="94">
        <v>193960.34098460112</v>
      </c>
      <c r="T8" s="94">
        <v>89083.545536354475</v>
      </c>
      <c r="U8" s="94">
        <v>1143799.9939275736</v>
      </c>
      <c r="V8" s="94">
        <v>382.5</v>
      </c>
      <c r="W8" s="94">
        <v>762211.40896216873</v>
      </c>
      <c r="X8" s="94">
        <v>886511.28127233672</v>
      </c>
      <c r="Y8" s="94">
        <v>1955120.5101390816</v>
      </c>
      <c r="Z8" s="94">
        <v>112653.30228029896</v>
      </c>
      <c r="AA8" s="94">
        <v>33591917.6200542</v>
      </c>
    </row>
    <row r="9" spans="1:27" x14ac:dyDescent="0.25">
      <c r="A9" s="76" t="s">
        <v>61</v>
      </c>
      <c r="B9" s="94">
        <v>509860.57169242611</v>
      </c>
      <c r="C9" s="94">
        <v>645582.14385210676</v>
      </c>
      <c r="D9" s="94">
        <v>15849744.751267752</v>
      </c>
      <c r="E9" s="94">
        <v>1984584.5167814812</v>
      </c>
      <c r="F9" s="94">
        <v>388863.39451189141</v>
      </c>
      <c r="G9" s="94">
        <v>4477966.7519370578</v>
      </c>
      <c r="H9" s="94">
        <v>11644393.207827253</v>
      </c>
      <c r="I9" s="94">
        <v>1418880.0477266102</v>
      </c>
      <c r="J9" s="94">
        <v>6029515.4414380258</v>
      </c>
      <c r="K9" s="94">
        <v>6680142.5236204183</v>
      </c>
      <c r="L9" s="94">
        <v>251872.64696190594</v>
      </c>
      <c r="M9" s="94">
        <v>5239723.0536418883</v>
      </c>
      <c r="N9" s="94">
        <v>7374022.539678853</v>
      </c>
      <c r="O9" s="94">
        <v>2640.2999999999997</v>
      </c>
      <c r="P9" s="94">
        <v>9774.1779835575144</v>
      </c>
      <c r="Q9" s="94">
        <v>15605285.662586827</v>
      </c>
      <c r="R9" s="94">
        <v>5262377.0147502627</v>
      </c>
      <c r="S9" s="94">
        <v>619703.29251642036</v>
      </c>
      <c r="T9" s="94">
        <v>294879.63840362278</v>
      </c>
      <c r="U9" s="94">
        <v>3820750.2741283141</v>
      </c>
      <c r="V9" s="94">
        <v>841.5</v>
      </c>
      <c r="W9" s="94">
        <v>6960026.5827080617</v>
      </c>
      <c r="X9" s="94">
        <v>2732350.0759807127</v>
      </c>
      <c r="Y9" s="94">
        <v>6016191.0015691761</v>
      </c>
      <c r="Z9" s="94">
        <v>325818.78334987065</v>
      </c>
      <c r="AA9" s="94">
        <v>104145789.89491449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25">
      <c r="A5" s="76" t="s">
        <v>285</v>
      </c>
      <c r="B5" s="214"/>
      <c r="C5" s="214"/>
      <c r="D5" s="214"/>
      <c r="E5" s="214"/>
      <c r="F5" s="214"/>
      <c r="G5" s="214"/>
      <c r="H5" s="214"/>
      <c r="I5" s="214"/>
      <c r="J5" s="214"/>
      <c r="K5" s="214"/>
    </row>
    <row r="6" spans="1:11" x14ac:dyDescent="0.25">
      <c r="A6" s="77">
        <v>2019</v>
      </c>
      <c r="B6" s="214">
        <v>17.543930524502301</v>
      </c>
      <c r="C6" s="214">
        <v>0</v>
      </c>
      <c r="D6" s="214">
        <v>0</v>
      </c>
      <c r="E6" s="214">
        <v>19.591464268115235</v>
      </c>
      <c r="F6" s="214">
        <v>0</v>
      </c>
      <c r="G6" s="214">
        <v>0</v>
      </c>
      <c r="H6" s="214">
        <v>0</v>
      </c>
      <c r="I6" s="214">
        <v>3.9505661308495017</v>
      </c>
      <c r="J6" s="214">
        <v>47.491430804576645</v>
      </c>
      <c r="K6" s="214">
        <v>88.577391728043679</v>
      </c>
    </row>
    <row r="7" spans="1:11" x14ac:dyDescent="0.25">
      <c r="A7" s="77">
        <v>2030</v>
      </c>
      <c r="B7" s="214">
        <v>14.678649289287103</v>
      </c>
      <c r="C7" s="214">
        <v>0</v>
      </c>
      <c r="D7" s="214">
        <v>20.46888379301523</v>
      </c>
      <c r="E7" s="214">
        <v>43.745095635723615</v>
      </c>
      <c r="F7" s="214">
        <v>1.1331835E-3</v>
      </c>
      <c r="G7" s="214">
        <v>0.9767157123837249</v>
      </c>
      <c r="H7" s="214">
        <v>0</v>
      </c>
      <c r="I7" s="214">
        <v>7.8112428316740701</v>
      </c>
      <c r="J7" s="214">
        <v>45.382683089213458</v>
      </c>
      <c r="K7" s="214">
        <v>133.06440353479718</v>
      </c>
    </row>
    <row r="8" spans="1:11" x14ac:dyDescent="0.25">
      <c r="A8" s="77">
        <v>2050</v>
      </c>
      <c r="B8" s="214">
        <v>10.068588212156007</v>
      </c>
      <c r="C8" s="214">
        <v>0</v>
      </c>
      <c r="D8" s="214">
        <v>17.507230362576006</v>
      </c>
      <c r="E8" s="214">
        <v>48.680669859134994</v>
      </c>
      <c r="F8" s="214">
        <v>1.1331835E-3</v>
      </c>
      <c r="G8" s="214">
        <v>0.38540174937787086</v>
      </c>
      <c r="H8" s="214">
        <v>0</v>
      </c>
      <c r="I8" s="214">
        <v>7.5264568791286592</v>
      </c>
      <c r="J8" s="214">
        <v>45.77603591800802</v>
      </c>
      <c r="K8" s="214">
        <v>129.94551616388156</v>
      </c>
    </row>
    <row r="9" spans="1:11" x14ac:dyDescent="0.25">
      <c r="A9" s="76" t="s">
        <v>243</v>
      </c>
      <c r="B9" s="214"/>
      <c r="C9" s="214"/>
      <c r="D9" s="214"/>
      <c r="E9" s="214"/>
      <c r="F9" s="214"/>
      <c r="G9" s="214"/>
      <c r="H9" s="214"/>
      <c r="I9" s="214"/>
      <c r="J9" s="214"/>
      <c r="K9" s="214"/>
    </row>
    <row r="10" spans="1:11" x14ac:dyDescent="0.25">
      <c r="A10" s="77">
        <v>2019</v>
      </c>
      <c r="B10" s="214">
        <v>7.483154704207001</v>
      </c>
      <c r="C10" s="214">
        <v>2.1694819870080004</v>
      </c>
      <c r="D10" s="214">
        <v>1.420171986175</v>
      </c>
      <c r="E10" s="214">
        <v>0.45076703431999982</v>
      </c>
      <c r="F10" s="214">
        <v>0</v>
      </c>
      <c r="G10" s="214">
        <v>5.0922829580050024</v>
      </c>
      <c r="H10" s="214">
        <v>0</v>
      </c>
      <c r="I10" s="214">
        <v>0</v>
      </c>
      <c r="J10" s="214">
        <v>0</v>
      </c>
      <c r="K10" s="214">
        <v>16.615858669715003</v>
      </c>
    </row>
    <row r="11" spans="1:11" x14ac:dyDescent="0.25">
      <c r="A11" s="77">
        <v>2030</v>
      </c>
      <c r="B11" s="214">
        <v>4.0123558190228108</v>
      </c>
      <c r="C11" s="214">
        <v>2.1694819870080004</v>
      </c>
      <c r="D11" s="214">
        <v>0</v>
      </c>
      <c r="E11" s="214">
        <v>0</v>
      </c>
      <c r="F11" s="214">
        <v>0</v>
      </c>
      <c r="G11" s="214">
        <v>15.376338739383602</v>
      </c>
      <c r="H11" s="214">
        <v>0</v>
      </c>
      <c r="I11" s="214">
        <v>0</v>
      </c>
      <c r="J11" s="214">
        <v>0</v>
      </c>
      <c r="K11" s="214">
        <v>21.558176545414412</v>
      </c>
    </row>
    <row r="12" spans="1:11" x14ac:dyDescent="0.25">
      <c r="A12" s="77">
        <v>2050</v>
      </c>
      <c r="B12" s="214">
        <v>5.0872686366759083</v>
      </c>
      <c r="C12" s="214">
        <v>2.1694819870080004</v>
      </c>
      <c r="D12" s="214">
        <v>0</v>
      </c>
      <c r="E12" s="214">
        <v>0</v>
      </c>
      <c r="F12" s="214">
        <v>0</v>
      </c>
      <c r="G12" s="214">
        <v>17.565716583876835</v>
      </c>
      <c r="H12" s="214">
        <v>0</v>
      </c>
      <c r="I12" s="214">
        <v>0</v>
      </c>
      <c r="J12" s="214">
        <v>0</v>
      </c>
      <c r="K12" s="214">
        <v>24.822467207560742</v>
      </c>
    </row>
    <row r="13" spans="1:11" x14ac:dyDescent="0.25">
      <c r="A13" s="76" t="s">
        <v>286</v>
      </c>
      <c r="B13" s="214">
        <v>42.29116802594541</v>
      </c>
      <c r="C13" s="214">
        <v>0</v>
      </c>
      <c r="D13" s="214">
        <v>37.976114155591233</v>
      </c>
      <c r="E13" s="214">
        <v>112.01722976297384</v>
      </c>
      <c r="F13" s="214">
        <v>2.266367E-3</v>
      </c>
      <c r="G13" s="214">
        <v>1.3621174617615956</v>
      </c>
      <c r="H13" s="214">
        <v>0</v>
      </c>
      <c r="I13" s="214">
        <v>19.288265841652233</v>
      </c>
      <c r="J13" s="214">
        <v>138.65014981179814</v>
      </c>
      <c r="K13" s="214">
        <v>351.58731142672241</v>
      </c>
    </row>
    <row r="14" spans="1:11" x14ac:dyDescent="0.25">
      <c r="A14" s="76" t="s">
        <v>244</v>
      </c>
      <c r="B14" s="214">
        <v>16.582779159905719</v>
      </c>
      <c r="C14" s="214">
        <v>6.5084459610240017</v>
      </c>
      <c r="D14" s="214">
        <v>1.420171986175</v>
      </c>
      <c r="E14" s="214">
        <v>0.45076703431999982</v>
      </c>
      <c r="F14" s="214">
        <v>0</v>
      </c>
      <c r="G14" s="214">
        <v>38.034338281265441</v>
      </c>
      <c r="H14" s="214">
        <v>0</v>
      </c>
      <c r="I14" s="214">
        <v>0</v>
      </c>
      <c r="J14" s="214">
        <v>0</v>
      </c>
      <c r="K14" s="214">
        <v>62.996502422690156</v>
      </c>
    </row>
  </sheetData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239</v>
      </c>
      <c r="B1" s="75" t="s">
        <v>62</v>
      </c>
    </row>
    <row r="2" spans="1:9" x14ac:dyDescent="0.25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25">
      <c r="A3" s="76">
        <v>2019</v>
      </c>
      <c r="B3" s="215">
        <v>1077304.94</v>
      </c>
      <c r="C3" s="215">
        <v>128467.8</v>
      </c>
      <c r="D3" s="215">
        <v>128726.35999999999</v>
      </c>
      <c r="E3" s="215">
        <v>1676887.9013836056</v>
      </c>
      <c r="F3" s="215">
        <v>0</v>
      </c>
      <c r="G3" s="215">
        <v>704016.11583333346</v>
      </c>
      <c r="H3" s="215">
        <v>1575935.1462763192</v>
      </c>
      <c r="I3" s="215">
        <v>5291338.2634932585</v>
      </c>
    </row>
    <row r="4" spans="1:9" x14ac:dyDescent="0.25">
      <c r="A4" s="76">
        <v>2030</v>
      </c>
      <c r="B4" s="215">
        <v>1137423.5648385542</v>
      </c>
      <c r="C4" s="215">
        <v>128467.8</v>
      </c>
      <c r="D4" s="215">
        <v>2239888.1288856766</v>
      </c>
      <c r="E4" s="215">
        <v>3665250.2773501943</v>
      </c>
      <c r="F4" s="215">
        <v>189.39</v>
      </c>
      <c r="G4" s="215">
        <v>2210080.3180264877</v>
      </c>
      <c r="H4" s="215">
        <v>1503974.5536280596</v>
      </c>
      <c r="I4" s="215">
        <v>10885274.032728972</v>
      </c>
    </row>
    <row r="5" spans="1:9" x14ac:dyDescent="0.25">
      <c r="A5" s="76">
        <v>2050</v>
      </c>
      <c r="B5" s="215">
        <v>1150052.3061987155</v>
      </c>
      <c r="C5" s="215">
        <v>128467.8</v>
      </c>
      <c r="D5" s="215">
        <v>1790512.7192554944</v>
      </c>
      <c r="E5" s="215">
        <v>4069006.9406604851</v>
      </c>
      <c r="F5" s="215">
        <v>189.39</v>
      </c>
      <c r="G5" s="215">
        <v>2433815.2686092323</v>
      </c>
      <c r="H5" s="215">
        <v>1523026.0725507722</v>
      </c>
      <c r="I5" s="215">
        <v>11095070.497274699</v>
      </c>
    </row>
    <row r="6" spans="1:9" x14ac:dyDescent="0.25">
      <c r="A6" s="76" t="s">
        <v>61</v>
      </c>
      <c r="B6" s="215">
        <v>3364780.8110372694</v>
      </c>
      <c r="C6" s="215">
        <v>385403.4</v>
      </c>
      <c r="D6" s="215">
        <v>4159127.2081411709</v>
      </c>
      <c r="E6" s="215">
        <v>9411145.1193942837</v>
      </c>
      <c r="F6" s="215">
        <v>378.78</v>
      </c>
      <c r="G6" s="215">
        <v>5347911.7024690537</v>
      </c>
      <c r="H6" s="215">
        <v>4602935.7724551503</v>
      </c>
      <c r="I6" s="215">
        <v>27271682.793496929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198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25">
      <c r="A3" s="76">
        <v>2019</v>
      </c>
      <c r="B3" s="94">
        <v>13910380.018766819</v>
      </c>
      <c r="C3" s="94">
        <v>-158.43719999999996</v>
      </c>
      <c r="D3" s="94">
        <v>5519261.9007367166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-606450.26032409817</v>
      </c>
      <c r="J3" s="94">
        <v>27820760.037533641</v>
      </c>
    </row>
    <row r="4" spans="1:10" x14ac:dyDescent="0.25">
      <c r="A4" s="76">
        <v>2030</v>
      </c>
      <c r="B4" s="94">
        <v>11635959.929105373</v>
      </c>
      <c r="C4" s="94">
        <v>-158.43719999999996</v>
      </c>
      <c r="D4" s="94">
        <v>5458126.7080017729</v>
      </c>
      <c r="E4" s="94">
        <v>8758493.8205350302</v>
      </c>
      <c r="F4" s="94">
        <v>-1506235.598111971</v>
      </c>
      <c r="G4" s="94">
        <v>-465812.99708206637</v>
      </c>
      <c r="H4" s="94">
        <v>0</v>
      </c>
      <c r="I4" s="94">
        <v>-608453.5670373945</v>
      </c>
      <c r="J4" s="94">
        <v>23271919.858210742</v>
      </c>
    </row>
    <row r="5" spans="1:10" x14ac:dyDescent="0.25">
      <c r="A5" s="76">
        <v>2050</v>
      </c>
      <c r="B5" s="94">
        <v>5982305.027657412</v>
      </c>
      <c r="C5" s="94">
        <v>-158.43719999999996</v>
      </c>
      <c r="D5" s="94">
        <v>5346052.9408816844</v>
      </c>
      <c r="E5" s="94">
        <v>5988081.1767114392</v>
      </c>
      <c r="F5" s="94">
        <v>-3453383.6897283746</v>
      </c>
      <c r="G5" s="94">
        <v>-531599.37200353772</v>
      </c>
      <c r="H5" s="94">
        <v>0</v>
      </c>
      <c r="I5" s="94">
        <v>-1366687.5910038012</v>
      </c>
      <c r="J5" s="94">
        <v>11964610.055314822</v>
      </c>
    </row>
    <row r="6" spans="1:10" x14ac:dyDescent="0.25">
      <c r="A6" s="76" t="s">
        <v>61</v>
      </c>
      <c r="B6" s="94">
        <v>31528644.975529604</v>
      </c>
      <c r="C6" s="94">
        <v>-475.31159999999988</v>
      </c>
      <c r="D6" s="94">
        <v>16323441.549620174</v>
      </c>
      <c r="E6" s="94">
        <v>24471919.023695737</v>
      </c>
      <c r="F6" s="94">
        <v>-5522029.2878403459</v>
      </c>
      <c r="G6" s="94">
        <v>-1162619.579980664</v>
      </c>
      <c r="H6" s="94">
        <v>0</v>
      </c>
      <c r="I6" s="94">
        <v>-2581591.4183652941</v>
      </c>
      <c r="J6" s="94">
        <v>63057289.951059207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11941424.383000549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-469132.82551179174</v>
      </c>
      <c r="D9" t="s">
        <v>331</v>
      </c>
      <c r="E9" t="s">
        <v>332</v>
      </c>
      <c r="G9" t="s">
        <v>330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9973918.4318741746</v>
      </c>
      <c r="D12" s="94" t="str">
        <f>IF(D2&lt;&gt;"",D2,"")</f>
        <v>CO2 - atmosfære</v>
      </c>
      <c r="E12" s="94" t="str">
        <f>E2</f>
        <v>CO2 - atmosfære</v>
      </c>
      <c r="F12" s="94" t="str">
        <f t="shared" ref="F12:I12" si="2">IF(F2&lt;&gt;"",F2,"")</f>
        <v/>
      </c>
      <c r="G12" s="94" t="str">
        <f t="shared" si="2"/>
        <v/>
      </c>
      <c r="H12" s="94" t="str">
        <f t="shared" si="2"/>
        <v/>
      </c>
      <c r="I12" s="94" t="str">
        <f t="shared" si="2"/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5015258.8213962922</v>
      </c>
      <c r="D13" s="94" t="str">
        <f t="shared" ref="D13:I13" si="3">IF(D3&lt;&gt;"",D3,"")</f>
        <v>Landbrug</v>
      </c>
      <c r="E13" s="94" t="str">
        <f t="shared" ref="E13:E61" si="4">E3</f>
        <v>Husdyr</v>
      </c>
      <c r="F13" s="94" t="str">
        <f t="shared" si="3"/>
        <v/>
      </c>
      <c r="G13" s="94" t="str">
        <f t="shared" si="3"/>
        <v>Grisestald</v>
      </c>
      <c r="H13" s="94" t="str">
        <f t="shared" si="3"/>
        <v>Kostald</v>
      </c>
      <c r="I13" s="94" t="str">
        <f t="shared" si="3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4043577.2436277913</v>
      </c>
      <c r="D14" s="94" t="str">
        <f t="shared" ref="D14:I14" si="5">IF(D4&lt;&gt;"",D4,"")</f>
        <v>Landbrug</v>
      </c>
      <c r="E14" s="94" t="str">
        <f t="shared" si="4"/>
        <v>Marker</v>
      </c>
      <c r="F14" s="94" t="str">
        <f t="shared" si="5"/>
        <v>JB1-10</v>
      </c>
      <c r="G14" s="94" t="str">
        <f t="shared" si="5"/>
        <v/>
      </c>
      <c r="H14" s="94" t="str">
        <f t="shared" si="5"/>
        <v/>
      </c>
      <c r="I14" s="94" t="str">
        <f t="shared" si="5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1202420.0951645882</v>
      </c>
      <c r="D15" s="94" t="str">
        <f t="shared" ref="D15:I15" si="6">IF(D5&lt;&gt;"",D5,"")</f>
        <v>Landbrug</v>
      </c>
      <c r="E15" s="94" t="str">
        <f t="shared" si="4"/>
        <v>Marker</v>
      </c>
      <c r="F15" s="94" t="str">
        <f t="shared" si="6"/>
        <v>OC6</v>
      </c>
      <c r="G15" s="94" t="str">
        <f t="shared" si="6"/>
        <v/>
      </c>
      <c r="H15" s="94" t="str">
        <f t="shared" si="6"/>
        <v/>
      </c>
      <c r="I15" s="94" t="str">
        <f t="shared" si="6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1839084.3419425203</v>
      </c>
      <c r="D16" s="94" t="str">
        <f t="shared" ref="D16:I16" si="7">IF(D6&lt;&gt;"",D6,"")</f>
        <v>Landbrug</v>
      </c>
      <c r="E16" s="94" t="str">
        <f t="shared" si="4"/>
        <v>Marker</v>
      </c>
      <c r="F16" s="94" t="str">
        <f t="shared" si="7"/>
        <v>OC12</v>
      </c>
      <c r="G16" s="94" t="str">
        <f t="shared" si="7"/>
        <v/>
      </c>
      <c r="H16" s="94" t="str">
        <f t="shared" si="7"/>
        <v/>
      </c>
      <c r="I16" s="94" t="str">
        <f t="shared" si="7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8">IF(D7&lt;&gt;"",D7,"")</f>
        <v>Hav</v>
      </c>
      <c r="E17" s="94" t="str">
        <f t="shared" si="4"/>
        <v>Hav</v>
      </c>
      <c r="F17" s="94" t="str">
        <f t="shared" si="8"/>
        <v/>
      </c>
      <c r="G17" s="94" t="str">
        <f t="shared" si="8"/>
        <v>Muslingefarm</v>
      </c>
      <c r="H17" s="94" t="str">
        <f t="shared" si="8"/>
        <v>Tangfarm</v>
      </c>
      <c r="I17" s="94" t="str">
        <f t="shared" si="8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-1228033.747647149</v>
      </c>
      <c r="D18" s="94" t="str">
        <f t="shared" ref="D18:I18" si="9">IF(D8&lt;&gt;"",D8,"")</f>
        <v>Skov</v>
      </c>
      <c r="E18" s="94" t="str">
        <f t="shared" si="4"/>
        <v>Skov</v>
      </c>
      <c r="F18" s="94" t="str">
        <f t="shared" si="9"/>
        <v/>
      </c>
      <c r="G18" s="94" t="str">
        <f t="shared" si="9"/>
        <v>Skovproduktion</v>
      </c>
      <c r="H18" s="94" t="str">
        <f t="shared" si="9"/>
        <v/>
      </c>
      <c r="I18" s="94" t="str">
        <f t="shared" si="9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-472893.63203247666</v>
      </c>
      <c r="D19" t="s">
        <v>331</v>
      </c>
      <c r="E19" s="94" t="str">
        <f t="shared" si="4"/>
        <v>Træprodukter</v>
      </c>
      <c r="G19" t="s">
        <v>330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-425336.4474026151</v>
      </c>
      <c r="D20" s="94" t="str">
        <f t="shared" ref="D20:I20" si="10">IF(D10&lt;&gt;"",D10,"")</f>
        <v>Biogasanlæg</v>
      </c>
      <c r="E20" s="94" t="str">
        <f t="shared" si="4"/>
        <v>Biogasanlæg</v>
      </c>
      <c r="F20" s="94" t="str">
        <f t="shared" si="10"/>
        <v/>
      </c>
      <c r="G20" s="94" t="str">
        <f t="shared" si="10"/>
        <v>Biogasanlæg</v>
      </c>
      <c r="H20" s="94" t="str">
        <f t="shared" si="10"/>
        <v/>
      </c>
      <c r="I20" s="94" t="str">
        <f t="shared" si="10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1">IF(D11&lt;&gt;"",D11,"")</f>
        <v>Pyrolyseproces</v>
      </c>
      <c r="E21" s="94" t="str">
        <f t="shared" si="4"/>
        <v>Pyrolyseproces</v>
      </c>
      <c r="F21" s="94" t="str">
        <f t="shared" si="11"/>
        <v/>
      </c>
      <c r="G21" s="94" t="str">
        <f t="shared" si="11"/>
        <v>Pyrolyseproces</v>
      </c>
      <c r="H21" s="94" t="str">
        <f t="shared" si="11"/>
        <v/>
      </c>
      <c r="I21" s="94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4">
        <f ca="1">SUMIF('Resultater - Vestdanmark'!$F$3:$F$509,'CO2-udledning'!$D$2,'Resultater - Vestdanmark'!J$3:J$509)</f>
        <v>5105512.731170225</v>
      </c>
      <c r="D22" s="94" t="str">
        <f t="shared" ref="D22:I22" si="13">IF(D12&lt;&gt;"",D12,"")</f>
        <v>CO2 - atmosfære</v>
      </c>
      <c r="E22" s="94" t="str">
        <f t="shared" si="4"/>
        <v>CO2 - atmosfære</v>
      </c>
      <c r="F22" s="94" t="str">
        <f t="shared" si="13"/>
        <v/>
      </c>
      <c r="G22" s="94" t="str">
        <f t="shared" si="13"/>
        <v/>
      </c>
      <c r="H22" s="94" t="str">
        <f t="shared" si="13"/>
        <v/>
      </c>
      <c r="I22" s="94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4915706.8925452614</v>
      </c>
      <c r="D23" s="94" t="str">
        <f t="shared" ref="D23:I23" si="14">IF(D13&lt;&gt;"",D13,"")</f>
        <v>Landbrug</v>
      </c>
      <c r="E23" s="94" t="str">
        <f t="shared" si="4"/>
        <v>Husdyr</v>
      </c>
      <c r="F23" s="94" t="str">
        <f t="shared" si="14"/>
        <v/>
      </c>
      <c r="G23" s="94" t="str">
        <f t="shared" si="14"/>
        <v>Grisestald</v>
      </c>
      <c r="H23" s="94" t="str">
        <f t="shared" si="14"/>
        <v>Kostald</v>
      </c>
      <c r="I23" s="94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3681930.3741319757</v>
      </c>
      <c r="D24" s="94" t="str">
        <f t="shared" ref="D24:I24" si="15">IF(D14&lt;&gt;"",D14,"")</f>
        <v>Landbrug</v>
      </c>
      <c r="E24" s="94" t="str">
        <f t="shared" si="4"/>
        <v>Marker</v>
      </c>
      <c r="F24" s="94" t="str">
        <f t="shared" si="15"/>
        <v>JB1-10</v>
      </c>
      <c r="G24" s="94" t="str">
        <f t="shared" si="15"/>
        <v/>
      </c>
      <c r="H24" s="94" t="str">
        <f t="shared" si="15"/>
        <v/>
      </c>
      <c r="I24" s="94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4">
        <f>SUMIFS('Resultater - Vestdanmark'!J$3:J$496,'Resultater - Vestdanmark'!$F$3:$F$496,'CO2-udledning'!$D$2,'Resultater - Vestdanmark'!$C$3:$C$496,'CO2-udledning'!$F5)</f>
        <v>998027.58022386348</v>
      </c>
      <c r="D25" s="94" t="str">
        <f t="shared" ref="D25:I25" si="16">IF(D15&lt;&gt;"",D15,"")</f>
        <v>Landbrug</v>
      </c>
      <c r="E25" s="94" t="str">
        <f t="shared" si="4"/>
        <v>Marker</v>
      </c>
      <c r="F25" s="94" t="str">
        <f t="shared" si="16"/>
        <v>OC6</v>
      </c>
      <c r="G25" s="94" t="str">
        <f t="shared" si="16"/>
        <v/>
      </c>
      <c r="H25" s="94" t="str">
        <f t="shared" si="16"/>
        <v/>
      </c>
      <c r="I25" s="94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7">IF(D16&lt;&gt;"",D16,"")</f>
        <v>Landbrug</v>
      </c>
      <c r="E26" s="94" t="str">
        <f t="shared" si="4"/>
        <v>Marker</v>
      </c>
      <c r="F26" s="94" t="str">
        <f t="shared" si="17"/>
        <v>OC12</v>
      </c>
      <c r="G26" s="94" t="str">
        <f t="shared" si="17"/>
        <v/>
      </c>
      <c r="H26" s="94" t="str">
        <f t="shared" si="17"/>
        <v/>
      </c>
      <c r="I26" s="94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8">IF(D17&lt;&gt;"",D17,"")</f>
        <v>Hav</v>
      </c>
      <c r="E27" s="94" t="str">
        <f t="shared" si="4"/>
        <v>Hav</v>
      </c>
      <c r="F27" s="94" t="str">
        <f t="shared" si="18"/>
        <v/>
      </c>
      <c r="G27" s="94" t="str">
        <f t="shared" si="18"/>
        <v>Muslingefarm</v>
      </c>
      <c r="H27" s="94" t="str">
        <f t="shared" si="18"/>
        <v>Tangfarm</v>
      </c>
      <c r="I27" s="94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4">
        <f ca="1">SUMIFS('Resultater - Vestdanmark'!J$3:J$496,'Resultater - Vestdanmark'!$F$3:$F$496,'CO2-udledning'!$D$2,'Resultater - Vestdanmark'!$A$3:$A$496,'CO2-udledning'!$G8)</f>
        <v>-2887651.1003491962</v>
      </c>
      <c r="D28" s="94" t="str">
        <f t="shared" ref="D28:I28" si="19">IF(D18&lt;&gt;"",D18,"")</f>
        <v>Skov</v>
      </c>
      <c r="E28" s="94" t="str">
        <f t="shared" si="4"/>
        <v>Skov</v>
      </c>
      <c r="F28" s="94" t="str">
        <f t="shared" si="19"/>
        <v/>
      </c>
      <c r="G28" s="94" t="str">
        <f t="shared" si="19"/>
        <v>Skovproduktion</v>
      </c>
      <c r="H28" s="94" t="str">
        <f t="shared" si="19"/>
        <v/>
      </c>
      <c r="I28" s="94" t="str">
        <f t="shared" si="19"/>
        <v/>
      </c>
    </row>
    <row r="29" spans="1:9" x14ac:dyDescent="0.25">
      <c r="A29" t="s">
        <v>23</v>
      </c>
      <c r="B29">
        <f t="shared" si="12"/>
        <v>2050</v>
      </c>
      <c r="C29" s="94">
        <f ca="1">SUMIFS('Resultater - Vestdanmark'!J$3:J$496,'Resultater - Vestdanmark'!$F$3:$F$496,'CO2-udledning'!$D$2,'Resultater - Vestdanmark'!$A$3:$A$496,'CO2-udledning'!$G9)</f>
        <v>-1116274.2073436431</v>
      </c>
      <c r="D29" t="s">
        <v>331</v>
      </c>
      <c r="E29" s="94" t="str">
        <f t="shared" si="4"/>
        <v>Træprodukter</v>
      </c>
      <c r="G29" t="s">
        <v>330</v>
      </c>
      <c r="H29" s="94"/>
      <c r="I29" s="94"/>
    </row>
    <row r="30" spans="1:9" x14ac:dyDescent="0.25">
      <c r="A30" t="s">
        <v>23</v>
      </c>
      <c r="B30">
        <f t="shared" si="12"/>
        <v>2050</v>
      </c>
      <c r="C30" s="94">
        <f>SUMIFS('Resultater - Vestdanmark'!J$3:J$496,'Resultater - Vestdanmark'!$F$3:$F$496,'CO2-udledning'!$D$2,'Resultater - Vestdanmark'!$A$3:$A$496,'CO2-udledning'!$G10)</f>
        <v>-486068.56486325985</v>
      </c>
      <c r="D30" s="94" t="str">
        <f t="shared" ref="D30:I30" si="20">IF(D20&lt;&gt;"",D20,"")</f>
        <v>Biogasanlæg</v>
      </c>
      <c r="E30" s="94" t="str">
        <f t="shared" si="4"/>
        <v>Biogasanlæg</v>
      </c>
      <c r="F30" s="94" t="str">
        <f t="shared" si="20"/>
        <v/>
      </c>
      <c r="G30" s="94" t="str">
        <f t="shared" si="20"/>
        <v>Biogasanlæg</v>
      </c>
      <c r="H30" s="94" t="str">
        <f t="shared" si="20"/>
        <v/>
      </c>
      <c r="I30" s="94" t="str">
        <f t="shared" si="20"/>
        <v/>
      </c>
    </row>
    <row r="31" spans="1:9" x14ac:dyDescent="0.25">
      <c r="A31" t="s">
        <v>23</v>
      </c>
      <c r="B31">
        <f t="shared" si="12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1">IF(D21&lt;&gt;"",D21,"")</f>
        <v>Pyrolyseproces</v>
      </c>
      <c r="E31" s="94" t="str">
        <f t="shared" si="4"/>
        <v>Pyrolyseproces</v>
      </c>
      <c r="F31" s="94" t="str">
        <f t="shared" si="21"/>
        <v/>
      </c>
      <c r="G31" s="94" t="str">
        <f t="shared" si="21"/>
        <v>Pyrolyseproces</v>
      </c>
      <c r="H31" s="94" t="str">
        <f t="shared" si="21"/>
        <v/>
      </c>
      <c r="I31" s="94" t="str">
        <f t="shared" si="21"/>
        <v/>
      </c>
    </row>
    <row r="32" spans="1:9" x14ac:dyDescent="0.25">
      <c r="A32" t="s">
        <v>24</v>
      </c>
      <c r="B32">
        <f t="shared" ref="B32:B41" si="22">År1</f>
        <v>2019</v>
      </c>
      <c r="C32" s="94">
        <f ca="1">SUMIF('Resultater - Østdanmark'!$F$3:$F$509,'CO2-udledning'!$D$2,'Resultater - Østdanmark'!H$3:H$509)</f>
        <v>1968955.6357662694</v>
      </c>
      <c r="D32" s="94" t="str">
        <f t="shared" ref="D32:I32" si="23">IF(D22&lt;&gt;"",D22,"")</f>
        <v>CO2 - atmosfære</v>
      </c>
      <c r="E32" s="94" t="str">
        <f t="shared" si="4"/>
        <v>CO2 - atmosfære</v>
      </c>
      <c r="F32" s="94" t="str">
        <f t="shared" si="23"/>
        <v/>
      </c>
      <c r="G32" s="94" t="str">
        <f t="shared" si="23"/>
        <v/>
      </c>
      <c r="H32" s="94" t="str">
        <f t="shared" si="23"/>
        <v/>
      </c>
      <c r="I32" s="94" t="str">
        <f t="shared" si="23"/>
        <v/>
      </c>
    </row>
    <row r="33" spans="1:9" x14ac:dyDescent="0.25">
      <c r="A33" t="s">
        <v>24</v>
      </c>
      <c r="B33">
        <f t="shared" si="22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4" t="str">
        <f t="shared" ref="D33:I33" si="24">IF(D23&lt;&gt;"",D23,"")</f>
        <v>Landbrug</v>
      </c>
      <c r="E33" s="94" t="str">
        <f t="shared" si="4"/>
        <v>Husdyr</v>
      </c>
      <c r="F33" s="94" t="str">
        <f t="shared" si="24"/>
        <v/>
      </c>
      <c r="G33" s="94" t="str">
        <f t="shared" si="24"/>
        <v>Grisestald</v>
      </c>
      <c r="H33" s="94" t="str">
        <f t="shared" si="24"/>
        <v>Kostald</v>
      </c>
      <c r="I33" s="94" t="str">
        <f t="shared" si="24"/>
        <v>Fjerkræbrug</v>
      </c>
    </row>
    <row r="34" spans="1:9" x14ac:dyDescent="0.25">
      <c r="A34" t="s">
        <v>24</v>
      </c>
      <c r="B34">
        <f t="shared" si="22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5">IF(D24&lt;&gt;"",D24,"")</f>
        <v>Landbrug</v>
      </c>
      <c r="E34" s="94" t="str">
        <f t="shared" si="4"/>
        <v>Marker</v>
      </c>
      <c r="F34" s="94" t="str">
        <f t="shared" si="25"/>
        <v>JB1-10</v>
      </c>
      <c r="G34" s="94" t="str">
        <f t="shared" si="25"/>
        <v/>
      </c>
      <c r="H34" s="94" t="str">
        <f t="shared" si="25"/>
        <v/>
      </c>
      <c r="I34" s="94" t="str">
        <f t="shared" si="25"/>
        <v/>
      </c>
    </row>
    <row r="35" spans="1:9" x14ac:dyDescent="0.25">
      <c r="A35" t="s">
        <v>24</v>
      </c>
      <c r="B35">
        <f t="shared" si="22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6">IF(D25&lt;&gt;"",D25,"")</f>
        <v>Landbrug</v>
      </c>
      <c r="E35" s="94" t="str">
        <f t="shared" si="4"/>
        <v>Marker</v>
      </c>
      <c r="F35" s="94" t="str">
        <f t="shared" si="26"/>
        <v>OC6</v>
      </c>
      <c r="G35" s="94" t="str">
        <f t="shared" si="26"/>
        <v/>
      </c>
      <c r="H35" s="94" t="str">
        <f t="shared" si="26"/>
        <v/>
      </c>
      <c r="I35" s="94" t="str">
        <f t="shared" si="26"/>
        <v/>
      </c>
    </row>
    <row r="36" spans="1:9" x14ac:dyDescent="0.25">
      <c r="A36" t="s">
        <v>24</v>
      </c>
      <c r="B36">
        <f t="shared" si="22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7">IF(D26&lt;&gt;"",D26,"")</f>
        <v>Landbrug</v>
      </c>
      <c r="E36" s="94" t="str">
        <f t="shared" si="4"/>
        <v>Marker</v>
      </c>
      <c r="F36" s="94" t="str">
        <f t="shared" si="27"/>
        <v>OC12</v>
      </c>
      <c r="G36" s="94" t="str">
        <f t="shared" si="27"/>
        <v/>
      </c>
      <c r="H36" s="94" t="str">
        <f t="shared" si="27"/>
        <v/>
      </c>
      <c r="I36" s="94" t="str">
        <f t="shared" si="27"/>
        <v/>
      </c>
    </row>
    <row r="37" spans="1:9" x14ac:dyDescent="0.25">
      <c r="A37" t="s">
        <v>24</v>
      </c>
      <c r="B37">
        <f t="shared" si="22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8">IF(D27&lt;&gt;"",D27,"")</f>
        <v>Hav</v>
      </c>
      <c r="E37" s="94" t="str">
        <f t="shared" si="4"/>
        <v>Hav</v>
      </c>
      <c r="F37" s="94" t="str">
        <f t="shared" si="28"/>
        <v/>
      </c>
      <c r="G37" s="94" t="str">
        <f t="shared" si="28"/>
        <v>Muslingefarm</v>
      </c>
      <c r="H37" s="94" t="str">
        <f t="shared" si="28"/>
        <v>Tangfarm</v>
      </c>
      <c r="I37" s="94" t="str">
        <f t="shared" si="28"/>
        <v/>
      </c>
    </row>
    <row r="38" spans="1:9" x14ac:dyDescent="0.25">
      <c r="A38" t="s">
        <v>24</v>
      </c>
      <c r="B38">
        <f t="shared" si="22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9">IF(D28&lt;&gt;"",D28,"")</f>
        <v>Skov</v>
      </c>
      <c r="E38" s="94" t="str">
        <f t="shared" si="4"/>
        <v>Skov</v>
      </c>
      <c r="F38" s="94" t="str">
        <f t="shared" si="29"/>
        <v/>
      </c>
      <c r="G38" s="94" t="str">
        <f t="shared" si="29"/>
        <v>Skovproduktion</v>
      </c>
      <c r="H38" s="94" t="str">
        <f t="shared" si="29"/>
        <v/>
      </c>
      <c r="I38" s="94" t="str">
        <f t="shared" si="29"/>
        <v/>
      </c>
    </row>
    <row r="39" spans="1:9" x14ac:dyDescent="0.25">
      <c r="A39" t="s">
        <v>24</v>
      </c>
      <c r="B39">
        <f t="shared" si="22"/>
        <v>2019</v>
      </c>
      <c r="C39" s="94">
        <f ca="1">SUMIFS('Resultater - Østdanmark'!H$3:H$496,'Resultater - Østdanmark'!$F$3:$F$496,'CO2-udledning'!$D$2,'Resultater - Østdanmark'!$A$3:$A$496,'CO2-udledning'!$G39)</f>
        <v>-137317.43481230648</v>
      </c>
      <c r="D39" t="s">
        <v>331</v>
      </c>
      <c r="E39" s="94" t="str">
        <f t="shared" si="4"/>
        <v>Træprodukter</v>
      </c>
      <c r="G39" t="s">
        <v>330</v>
      </c>
      <c r="H39" s="94"/>
      <c r="I39" s="94"/>
    </row>
    <row r="40" spans="1:9" x14ac:dyDescent="0.25">
      <c r="A40" t="s">
        <v>24</v>
      </c>
      <c r="B40">
        <f t="shared" si="22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30">IF(D30&lt;&gt;"",D30,"")</f>
        <v>Biogasanlæg</v>
      </c>
      <c r="E40" s="94" t="str">
        <f t="shared" si="4"/>
        <v>Biogasanlæg</v>
      </c>
      <c r="F40" s="94" t="str">
        <f t="shared" si="30"/>
        <v/>
      </c>
      <c r="G40" s="94" t="str">
        <f t="shared" si="30"/>
        <v>Biogasanlæg</v>
      </c>
      <c r="H40" s="94" t="str">
        <f t="shared" si="30"/>
        <v/>
      </c>
      <c r="I40" s="94" t="str">
        <f t="shared" si="30"/>
        <v/>
      </c>
    </row>
    <row r="41" spans="1:9" x14ac:dyDescent="0.25">
      <c r="A41" t="s">
        <v>24</v>
      </c>
      <c r="B41">
        <f t="shared" si="22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1">IF(D31&lt;&gt;"",D31,"")</f>
        <v>Pyrolyseproces</v>
      </c>
      <c r="E41" s="94" t="str">
        <f t="shared" si="4"/>
        <v>Pyrolyseproces</v>
      </c>
      <c r="F41" s="94" t="str">
        <f t="shared" si="31"/>
        <v/>
      </c>
      <c r="G41" s="94" t="str">
        <f t="shared" si="31"/>
        <v>Pyrolyseproces</v>
      </c>
      <c r="H41" s="94" t="str">
        <f t="shared" si="31"/>
        <v/>
      </c>
      <c r="I41" s="94" t="str">
        <f t="shared" si="31"/>
        <v/>
      </c>
    </row>
    <row r="42" spans="1:9" x14ac:dyDescent="0.25">
      <c r="A42" t="s">
        <v>24</v>
      </c>
      <c r="B42">
        <f t="shared" ref="B42:B51" si="32">År2</f>
        <v>2030</v>
      </c>
      <c r="C42" s="94">
        <f ca="1">SUMIF('Resultater - Østdanmark'!$F$3:$F$509,'CO2-udledning'!$D$2,'Resultater - Østdanmark'!I$3:I$509)</f>
        <v>1662041.497231198</v>
      </c>
      <c r="D42" s="94" t="str">
        <f t="shared" ref="D42:I42" si="33">IF(D32&lt;&gt;"",D32,"")</f>
        <v>CO2 - atmosfære</v>
      </c>
      <c r="E42" s="94" t="str">
        <f t="shared" si="4"/>
        <v>CO2 - atmosfære</v>
      </c>
      <c r="F42" s="94" t="str">
        <f t="shared" si="33"/>
        <v/>
      </c>
      <c r="G42" s="94" t="str">
        <f t="shared" si="33"/>
        <v/>
      </c>
      <c r="H42" s="94" t="str">
        <f t="shared" si="33"/>
        <v/>
      </c>
      <c r="I42" s="94" t="str">
        <f t="shared" si="33"/>
        <v/>
      </c>
    </row>
    <row r="43" spans="1:9" x14ac:dyDescent="0.25">
      <c r="A43" t="s">
        <v>24</v>
      </c>
      <c r="B43">
        <f t="shared" si="32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442867.88660548098</v>
      </c>
      <c r="D43" s="94" t="str">
        <f t="shared" ref="D43:I43" si="34">IF(D33&lt;&gt;"",D33,"")</f>
        <v>Landbrug</v>
      </c>
      <c r="E43" s="94" t="str">
        <f t="shared" si="4"/>
        <v>Husdyr</v>
      </c>
      <c r="F43" s="94" t="str">
        <f t="shared" si="34"/>
        <v/>
      </c>
      <c r="G43" s="94" t="str">
        <f t="shared" si="34"/>
        <v>Grisestald</v>
      </c>
      <c r="H43" s="94" t="str">
        <f t="shared" si="34"/>
        <v>Kostald</v>
      </c>
      <c r="I43" s="94" t="str">
        <f t="shared" si="34"/>
        <v>Fjerkræbrug</v>
      </c>
    </row>
    <row r="44" spans="1:9" x14ac:dyDescent="0.25">
      <c r="A44" t="s">
        <v>24</v>
      </c>
      <c r="B44">
        <f t="shared" si="32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1211586.3086878173</v>
      </c>
      <c r="D44" s="94" t="str">
        <f t="shared" ref="D44:I44" si="35">IF(D34&lt;&gt;"",D34,"")</f>
        <v>Landbrug</v>
      </c>
      <c r="E44" s="94" t="str">
        <f t="shared" si="4"/>
        <v>Marker</v>
      </c>
      <c r="F44" s="94" t="str">
        <f t="shared" si="35"/>
        <v>JB1-10</v>
      </c>
      <c r="G44" s="94" t="str">
        <f t="shared" si="35"/>
        <v/>
      </c>
      <c r="H44" s="94" t="str">
        <f t="shared" si="35"/>
        <v/>
      </c>
      <c r="I44" s="94" t="str">
        <f t="shared" si="35"/>
        <v/>
      </c>
    </row>
    <row r="45" spans="1:9" x14ac:dyDescent="0.25">
      <c r="A45" t="s">
        <v>24</v>
      </c>
      <c r="B45">
        <f t="shared" si="32"/>
        <v>2030</v>
      </c>
      <c r="C45" s="74">
        <f>SUMIFS('Resultater - Østdanmark'!I$3:I$496,'Resultater - Østdanmark'!$F$3:$F$496,'CO2-udledning'!$D$2,'Resultater - Østdanmark'!$C$3:$C$496,'CO2-udledning'!$F5)</f>
        <v>182621.40301891766</v>
      </c>
      <c r="D45" s="94" t="str">
        <f t="shared" ref="D45:I45" si="36">IF(D35&lt;&gt;"",D35,"")</f>
        <v>Landbrug</v>
      </c>
      <c r="E45" s="94" t="str">
        <f t="shared" si="4"/>
        <v>Marker</v>
      </c>
      <c r="F45" s="94" t="str">
        <f t="shared" si="36"/>
        <v>OC6</v>
      </c>
      <c r="G45" s="94" t="str">
        <f t="shared" si="36"/>
        <v/>
      </c>
      <c r="H45" s="94" t="str">
        <f t="shared" si="36"/>
        <v/>
      </c>
      <c r="I45" s="94" t="str">
        <f t="shared" si="36"/>
        <v/>
      </c>
    </row>
    <row r="46" spans="1:9" x14ac:dyDescent="0.25">
      <c r="A46" t="s">
        <v>24</v>
      </c>
      <c r="B46">
        <f t="shared" si="32"/>
        <v>2030</v>
      </c>
      <c r="C46" s="74">
        <f>SUMIFS('Resultater - Østdanmark'!I$3:I$496,'Resultater - Østdanmark'!$F$3:$F$496,'CO2-udledning'!$D$2,'Resultater - Østdanmark'!$C$3:$C$496,'CO2-udledning'!$F6)</f>
        <v>279204.42809339461</v>
      </c>
      <c r="D46" s="94" t="str">
        <f t="shared" ref="D46:I46" si="37">IF(D36&lt;&gt;"",D36,"")</f>
        <v>Landbrug</v>
      </c>
      <c r="E46" s="94" t="str">
        <f t="shared" si="4"/>
        <v>Marker</v>
      </c>
      <c r="F46" s="94" t="str">
        <f t="shared" si="37"/>
        <v>OC12</v>
      </c>
      <c r="G46" s="94" t="str">
        <f t="shared" si="37"/>
        <v/>
      </c>
      <c r="H46" s="94" t="str">
        <f t="shared" si="37"/>
        <v/>
      </c>
      <c r="I46" s="94" t="str">
        <f t="shared" si="37"/>
        <v/>
      </c>
    </row>
    <row r="47" spans="1:9" x14ac:dyDescent="0.25">
      <c r="A47" t="s">
        <v>24</v>
      </c>
      <c r="B47">
        <f t="shared" si="32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8">IF(D37&lt;&gt;"",D37,"")</f>
        <v>Hav</v>
      </c>
      <c r="E47" s="94" t="str">
        <f t="shared" si="4"/>
        <v>Hav</v>
      </c>
      <c r="F47" s="94" t="str">
        <f t="shared" si="38"/>
        <v/>
      </c>
      <c r="G47" s="94" t="str">
        <f t="shared" si="38"/>
        <v>Muslingefarm</v>
      </c>
      <c r="H47" s="94" t="str">
        <f t="shared" si="38"/>
        <v>Tangfarm</v>
      </c>
      <c r="I47" s="94" t="str">
        <f t="shared" si="38"/>
        <v/>
      </c>
    </row>
    <row r="48" spans="1:9" x14ac:dyDescent="0.25">
      <c r="A48" t="s">
        <v>24</v>
      </c>
      <c r="B48">
        <f t="shared" si="32"/>
        <v>2030</v>
      </c>
      <c r="C48" s="94">
        <f ca="1">SUMIFS('Resultater - Østdanmark'!I$3:I$496,'Resultater - Østdanmark'!$F$3:$F$496,'CO2-udledning'!$D$2,'Resultater - Østdanmark'!$A$3:$A$496,'CO2-udledning'!$G38)</f>
        <v>-278201.85046482197</v>
      </c>
      <c r="D48" s="94" t="str">
        <f t="shared" ref="D48:I48" si="39">IF(D38&lt;&gt;"",D38,"")</f>
        <v>Skov</v>
      </c>
      <c r="E48" s="94" t="str">
        <f t="shared" si="4"/>
        <v>Skov</v>
      </c>
      <c r="F48" s="94" t="str">
        <f t="shared" si="39"/>
        <v/>
      </c>
      <c r="G48" s="94" t="str">
        <f t="shared" si="39"/>
        <v>Skovproduktion</v>
      </c>
      <c r="H48" s="94" t="str">
        <f t="shared" si="39"/>
        <v/>
      </c>
      <c r="I48" s="94" t="str">
        <f t="shared" si="39"/>
        <v/>
      </c>
    </row>
    <row r="49" spans="1:9" x14ac:dyDescent="0.25">
      <c r="A49" t="s">
        <v>24</v>
      </c>
      <c r="B49">
        <f t="shared" si="32"/>
        <v>2030</v>
      </c>
      <c r="C49" s="94">
        <f ca="1">SUMIFS('Resultater - Østdanmark'!I$3:I$496,'Resultater - Østdanmark'!$F$3:$F$496,'CO2-udledning'!$D$2,'Resultater - Østdanmark'!$A$3:$A$496,'CO2-udledning'!$G39)</f>
        <v>-135559.93500491785</v>
      </c>
      <c r="D49" t="s">
        <v>331</v>
      </c>
      <c r="E49" s="94" t="str">
        <f t="shared" si="4"/>
        <v>Træprodukter</v>
      </c>
      <c r="G49" t="s">
        <v>330</v>
      </c>
      <c r="H49" s="94"/>
      <c r="I49" s="94"/>
    </row>
    <row r="50" spans="1:9" x14ac:dyDescent="0.25">
      <c r="A50" t="s">
        <v>24</v>
      </c>
      <c r="B50">
        <f t="shared" si="32"/>
        <v>2030</v>
      </c>
      <c r="C50" s="94">
        <f>SUMIFS('Resultater - Østdanmark'!I$3:I$496,'Resultater - Østdanmark'!$F$3:$F$496,'CO2-udledning'!$D$2,'Resultater - Østdanmark'!$A$3:$A$496,'CO2-udledning'!$G40)</f>
        <v>-40476.549679451244</v>
      </c>
      <c r="D50" s="94" t="str">
        <f t="shared" ref="D50:I50" si="40">IF(D40&lt;&gt;"",D40,"")</f>
        <v>Biogasanlæg</v>
      </c>
      <c r="E50" s="94" t="str">
        <f t="shared" si="4"/>
        <v>Biogasanlæg</v>
      </c>
      <c r="F50" s="94" t="str">
        <f t="shared" si="40"/>
        <v/>
      </c>
      <c r="G50" s="94" t="str">
        <f t="shared" si="40"/>
        <v>Biogasanlæg</v>
      </c>
      <c r="H50" s="94" t="str">
        <f t="shared" si="40"/>
        <v/>
      </c>
      <c r="I50" s="94" t="str">
        <f t="shared" si="40"/>
        <v/>
      </c>
    </row>
    <row r="51" spans="1:9" x14ac:dyDescent="0.25">
      <c r="A51" t="s">
        <v>24</v>
      </c>
      <c r="B51">
        <f t="shared" si="32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1">IF(D41&lt;&gt;"",D41,"")</f>
        <v>Pyrolyseproces</v>
      </c>
      <c r="E51" s="94" t="str">
        <f t="shared" si="4"/>
        <v>Pyrolyseproces</v>
      </c>
      <c r="F51" s="94" t="str">
        <f t="shared" si="41"/>
        <v/>
      </c>
      <c r="G51" s="94" t="str">
        <f t="shared" si="41"/>
        <v>Pyrolyseproces</v>
      </c>
      <c r="H51" s="94" t="str">
        <f t="shared" si="41"/>
        <v/>
      </c>
      <c r="I51" s="94" t="str">
        <f t="shared" si="41"/>
        <v/>
      </c>
    </row>
    <row r="52" spans="1:9" x14ac:dyDescent="0.25">
      <c r="A52" t="s">
        <v>24</v>
      </c>
      <c r="B52">
        <f t="shared" ref="B52:B61" si="42">År3</f>
        <v>2050</v>
      </c>
      <c r="C52" s="94">
        <f ca="1">SUMIF('Resultater - Østdanmark'!$F$3:$F$509,'CO2-udledning'!$D$2,'Resultater - Østdanmark'!J$3:J$509)</f>
        <v>876792.29648718657</v>
      </c>
      <c r="D52" s="94" t="str">
        <f t="shared" ref="D52:I52" si="43">IF(D42&lt;&gt;"",D42,"")</f>
        <v>CO2 - atmosfære</v>
      </c>
      <c r="E52" s="94" t="str">
        <f t="shared" si="4"/>
        <v>CO2 - atmosfære</v>
      </c>
      <c r="F52" s="94" t="str">
        <f t="shared" si="43"/>
        <v/>
      </c>
      <c r="G52" s="94" t="str">
        <f t="shared" si="43"/>
        <v/>
      </c>
      <c r="H52" s="94" t="str">
        <f t="shared" si="43"/>
        <v/>
      </c>
      <c r="I52" s="94" t="str">
        <f t="shared" si="43"/>
        <v/>
      </c>
    </row>
    <row r="53" spans="1:9" x14ac:dyDescent="0.25">
      <c r="A53" t="s">
        <v>24</v>
      </c>
      <c r="B53">
        <f t="shared" si="42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430346.04833642254</v>
      </c>
      <c r="D53" s="94" t="str">
        <f t="shared" ref="D53:I53" si="44">IF(D43&lt;&gt;"",D43,"")</f>
        <v>Landbrug</v>
      </c>
      <c r="E53" s="94" t="str">
        <f t="shared" si="4"/>
        <v>Husdyr</v>
      </c>
      <c r="F53" s="94" t="str">
        <f t="shared" si="44"/>
        <v/>
      </c>
      <c r="G53" s="94" t="str">
        <f t="shared" si="44"/>
        <v>Grisestald</v>
      </c>
      <c r="H53" s="94" t="str">
        <f t="shared" si="44"/>
        <v>Kostald</v>
      </c>
      <c r="I53" s="94" t="str">
        <f t="shared" si="44"/>
        <v>Fjerkræbrug</v>
      </c>
    </row>
    <row r="54" spans="1:9" x14ac:dyDescent="0.25">
      <c r="A54" t="s">
        <v>24</v>
      </c>
      <c r="B54">
        <f t="shared" si="42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1156544.5871639531</v>
      </c>
      <c r="D54" s="94" t="str">
        <f t="shared" ref="D54:I54" si="45">IF(D44&lt;&gt;"",D44,"")</f>
        <v>Landbrug</v>
      </c>
      <c r="E54" s="94" t="str">
        <f t="shared" si="4"/>
        <v>Marker</v>
      </c>
      <c r="F54" s="94" t="str">
        <f t="shared" si="45"/>
        <v>JB1-10</v>
      </c>
      <c r="G54" s="94" t="str">
        <f t="shared" si="45"/>
        <v/>
      </c>
      <c r="H54" s="94" t="str">
        <f t="shared" si="45"/>
        <v/>
      </c>
      <c r="I54" s="94" t="str">
        <f t="shared" si="45"/>
        <v/>
      </c>
    </row>
    <row r="55" spans="1:9" x14ac:dyDescent="0.25">
      <c r="A55" t="s">
        <v>24</v>
      </c>
      <c r="B55">
        <f t="shared" si="42"/>
        <v>2050</v>
      </c>
      <c r="C55" s="74">
        <f>SUMIFS('Resultater - Østdanmark'!J$3:J$496,'Resultater - Østdanmark'!$F$3:$F$496,'CO2-udledning'!$D$2,'Resultater - Østdanmark'!$C$3:$C$496,'CO2-udledning'!$F5)</f>
        <v>151578.63519164603</v>
      </c>
      <c r="D55" s="94" t="str">
        <f t="shared" ref="D55:I55" si="46">IF(D45&lt;&gt;"",D45,"")</f>
        <v>Landbrug</v>
      </c>
      <c r="E55" s="94" t="str">
        <f t="shared" si="4"/>
        <v>Marker</v>
      </c>
      <c r="F55" s="94" t="str">
        <f t="shared" si="46"/>
        <v>OC6</v>
      </c>
      <c r="G55" s="94" t="str">
        <f t="shared" si="46"/>
        <v/>
      </c>
      <c r="H55" s="94" t="str">
        <f t="shared" si="46"/>
        <v/>
      </c>
      <c r="I55" s="94" t="str">
        <f t="shared" si="46"/>
        <v/>
      </c>
    </row>
    <row r="56" spans="1:9" x14ac:dyDescent="0.25">
      <c r="A56" t="s">
        <v>24</v>
      </c>
      <c r="B56">
        <f t="shared" si="42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7">IF(D46&lt;&gt;"",D46,"")</f>
        <v>Landbrug</v>
      </c>
      <c r="E56" s="94" t="str">
        <f t="shared" si="4"/>
        <v>Marker</v>
      </c>
      <c r="F56" s="94" t="str">
        <f t="shared" si="47"/>
        <v>OC12</v>
      </c>
      <c r="G56" s="94" t="str">
        <f t="shared" si="47"/>
        <v/>
      </c>
      <c r="H56" s="94" t="str">
        <f t="shared" si="47"/>
        <v/>
      </c>
      <c r="I56" s="94" t="str">
        <f t="shared" si="47"/>
        <v/>
      </c>
    </row>
    <row r="57" spans="1:9" x14ac:dyDescent="0.25">
      <c r="A57" t="s">
        <v>24</v>
      </c>
      <c r="B57">
        <f t="shared" si="42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8">IF(D47&lt;&gt;"",D47,"")</f>
        <v>Hav</v>
      </c>
      <c r="E57" s="94" t="str">
        <f t="shared" si="4"/>
        <v>Hav</v>
      </c>
      <c r="F57" s="94" t="str">
        <f t="shared" si="48"/>
        <v/>
      </c>
      <c r="G57" s="94" t="str">
        <f t="shared" si="48"/>
        <v>Muslingefarm</v>
      </c>
      <c r="H57" s="94" t="str">
        <f t="shared" si="48"/>
        <v>Tangfarm</v>
      </c>
      <c r="I57" s="94" t="str">
        <f t="shared" si="48"/>
        <v/>
      </c>
    </row>
    <row r="58" spans="1:9" x14ac:dyDescent="0.25">
      <c r="A58" t="s">
        <v>24</v>
      </c>
      <c r="B58">
        <f t="shared" si="42"/>
        <v>2050</v>
      </c>
      <c r="C58" s="94">
        <f ca="1">SUMIFS('Resultater - Østdanmark'!J$3:J$496,'Resultater - Østdanmark'!$F$3:$F$496,'CO2-udledning'!$D$2,'Resultater - Østdanmark'!$A$3:$A$496,'CO2-udledning'!$G38)</f>
        <v>-565732.58937917813</v>
      </c>
      <c r="D58" s="94" t="str">
        <f t="shared" ref="D58:I58" si="49">IF(D48&lt;&gt;"",D48,"")</f>
        <v>Skov</v>
      </c>
      <c r="E58" s="94" t="str">
        <f t="shared" si="4"/>
        <v>Skov</v>
      </c>
      <c r="F58" s="94" t="str">
        <f t="shared" si="49"/>
        <v/>
      </c>
      <c r="G58" s="94" t="str">
        <f t="shared" si="49"/>
        <v>Skovproduktion</v>
      </c>
      <c r="H58" s="94" t="str">
        <f t="shared" si="49"/>
        <v/>
      </c>
      <c r="I58" s="94" t="str">
        <f t="shared" si="49"/>
        <v/>
      </c>
    </row>
    <row r="59" spans="1:9" x14ac:dyDescent="0.25">
      <c r="A59" t="s">
        <v>24</v>
      </c>
      <c r="B59">
        <f t="shared" si="42"/>
        <v>2050</v>
      </c>
      <c r="C59" s="94">
        <f ca="1">SUMIFS('Resultater - Østdanmark'!J$3:J$496,'Resultater - Østdanmark'!$F$3:$F$496,'CO2-udledning'!$D$2,'Resultater - Østdanmark'!$A$3:$A$496,'CO2-udledning'!$G39)</f>
        <v>-250413.3836601582</v>
      </c>
      <c r="D59" t="s">
        <v>331</v>
      </c>
      <c r="E59" s="94" t="str">
        <f t="shared" si="4"/>
        <v>Træprodukter</v>
      </c>
      <c r="G59" t="s">
        <v>330</v>
      </c>
      <c r="H59" s="94"/>
      <c r="I59" s="94"/>
    </row>
    <row r="60" spans="1:9" x14ac:dyDescent="0.25">
      <c r="A60" t="s">
        <v>24</v>
      </c>
      <c r="B60">
        <f t="shared" si="42"/>
        <v>2050</v>
      </c>
      <c r="C60" s="94">
        <f>SUMIFS('Resultater - Østdanmark'!J$3:J$496,'Resultater - Østdanmark'!$F$3:$F$496,'CO2-udledning'!$D$2,'Resultater - Østdanmark'!$A$3:$A$496,'CO2-udledning'!$G40)</f>
        <v>-45530.807140277917</v>
      </c>
      <c r="D60" s="94" t="str">
        <f t="shared" ref="D60:I60" si="50">IF(D50&lt;&gt;"",D50,"")</f>
        <v>Biogasanlæg</v>
      </c>
      <c r="E60" s="94" t="str">
        <f t="shared" si="4"/>
        <v>Biogasanlæg</v>
      </c>
      <c r="F60" s="94" t="str">
        <f t="shared" si="50"/>
        <v/>
      </c>
      <c r="G60" s="94" t="str">
        <f t="shared" si="50"/>
        <v>Biogasanlæg</v>
      </c>
      <c r="H60" s="94" t="str">
        <f t="shared" si="50"/>
        <v/>
      </c>
      <c r="I60" s="94" t="str">
        <f t="shared" si="50"/>
        <v/>
      </c>
    </row>
    <row r="61" spans="1:9" x14ac:dyDescent="0.25">
      <c r="A61" t="s">
        <v>24</v>
      </c>
      <c r="B61">
        <f t="shared" si="42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1">IF(D51&lt;&gt;"",D51,"")</f>
        <v>Pyrolyseproces</v>
      </c>
      <c r="E61" s="94" t="str">
        <f t="shared" si="4"/>
        <v>Pyrolyseproces</v>
      </c>
      <c r="F61" s="94" t="str">
        <f t="shared" si="51"/>
        <v/>
      </c>
      <c r="G61" s="94" t="str">
        <f t="shared" si="51"/>
        <v>Pyrolyseproces</v>
      </c>
      <c r="H61" s="94" t="str">
        <f t="shared" si="51"/>
        <v/>
      </c>
      <c r="I61" s="94" t="str">
        <f t="shared" si="51"/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292329.05624825694</v>
      </c>
      <c r="C6" s="94">
        <v>1536609.9114825001</v>
      </c>
      <c r="D6" s="94">
        <v>42881.706564856053</v>
      </c>
      <c r="E6" s="94">
        <v>17968444.792239871</v>
      </c>
      <c r="F6" s="94">
        <v>289312.26274375798</v>
      </c>
      <c r="G6" s="94">
        <v>933739.34333929513</v>
      </c>
      <c r="H6" s="94">
        <v>2305378.5955234999</v>
      </c>
      <c r="I6" s="94">
        <v>9376361.2933862042</v>
      </c>
      <c r="J6" s="94">
        <v>8192913.6512023881</v>
      </c>
      <c r="K6" s="94">
        <v>2055003.2426024945</v>
      </c>
      <c r="L6" s="94">
        <v>209871.78410050535</v>
      </c>
      <c r="M6" s="94">
        <v>697432.39568518498</v>
      </c>
      <c r="N6" s="94">
        <v>2714678.0595324179</v>
      </c>
      <c r="O6" s="94">
        <v>46614956.09465123</v>
      </c>
    </row>
    <row r="7" spans="1:15" x14ac:dyDescent="0.25">
      <c r="A7" s="76">
        <v>2050</v>
      </c>
      <c r="B7" s="94">
        <v>278178.23040412681</v>
      </c>
      <c r="C7" s="94">
        <v>1433074.1712037951</v>
      </c>
      <c r="D7" s="94">
        <v>41205.106350818656</v>
      </c>
      <c r="E7" s="94">
        <v>15749174.280025551</v>
      </c>
      <c r="F7" s="94">
        <v>283127.27105558576</v>
      </c>
      <c r="G7" s="94">
        <v>886511.28127233672</v>
      </c>
      <c r="H7" s="94">
        <v>2153221.1823950112</v>
      </c>
      <c r="I7" s="94">
        <v>9022837.0260440428</v>
      </c>
      <c r="J7" s="94">
        <v>7865538.192860188</v>
      </c>
      <c r="K7" s="94">
        <v>1955120.5101390816</v>
      </c>
      <c r="L7" s="94">
        <v>183432.40969824954</v>
      </c>
      <c r="M7" s="94">
        <v>672005.07849363028</v>
      </c>
      <c r="N7" s="94">
        <v>2708107.1992873591</v>
      </c>
      <c r="O7" s="94">
        <v>43231531.939229786</v>
      </c>
    </row>
    <row r="8" spans="1:15" x14ac:dyDescent="0.25">
      <c r="A8" s="76" t="s">
        <v>61</v>
      </c>
      <c r="B8" s="94">
        <v>855877.14341550239</v>
      </c>
      <c r="C8" s="94">
        <v>4477966.7519370578</v>
      </c>
      <c r="D8" s="94">
        <v>125815.761932889</v>
      </c>
      <c r="E8" s="94">
        <v>51630625.611098729</v>
      </c>
      <c r="F8" s="94">
        <v>852761.9705586601</v>
      </c>
      <c r="G8" s="94">
        <v>2732350.0759807127</v>
      </c>
      <c r="H8" s="94">
        <v>6721775.9352954561</v>
      </c>
      <c r="I8" s="94">
        <v>27511284.168588616</v>
      </c>
      <c r="J8" s="94">
        <v>24014372.973681375</v>
      </c>
      <c r="K8" s="94">
        <v>6016191.0015691761</v>
      </c>
      <c r="L8" s="94">
        <v>603171.33247569925</v>
      </c>
      <c r="M8" s="94">
        <v>2047762.7026900621</v>
      </c>
      <c r="N8" s="94">
        <v>8033619.3007228803</v>
      </c>
      <c r="O8" s="94">
        <v>135623574.72994682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3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3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3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3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3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3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3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3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3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3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3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3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3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3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7012260.3004318569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3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264281.48271181755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3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497134.76694638823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3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15769668.337175274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3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189947.9283403279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3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2184559.2882253225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3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387359.23061650008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3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7810797.3149183672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3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26490.425666789368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3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1644241.434656535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3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896684.85799615958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3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782472.88933192089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3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170203.15251490066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3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6657445.6000957079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3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250215.04217969507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3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471962.43365815014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3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13682245.34995167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3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182765.86123576926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3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2034058.7589381256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3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370630.07456563454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3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7480186.4136029035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3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24926.840286441191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3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1547190.8284741363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3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813451.18685438076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3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736287.78133601486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3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146472.78733520172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3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3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3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3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3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3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3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3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3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3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3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3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3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3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2364100.9929543477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3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28047.573536439377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3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200297.62873879672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3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2198776.4550645952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3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99364.334403430083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3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120819.30729817749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3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2327318.8289159178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3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382116.33628402097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3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16391.280898066685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3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410761.8079459595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3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639925.05348634056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3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151266.45400737421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3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39668.631585604686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3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2365391.4259483349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3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27963.188224431749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3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200042.64483548011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3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2066928.9300738815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3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100361.40981981652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3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119162.42345688539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3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2337477.1247217245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3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385351.77925728471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3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16278.266064377463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3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407929.68166494544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3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619622.98434941436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3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150223.49993632184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3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36959.622363047813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5">
        <v>3010292.0648196544</v>
      </c>
      <c r="C6" s="215">
        <v>827707.93518034508</v>
      </c>
      <c r="D6" s="215">
        <v>3837999.9999999995</v>
      </c>
    </row>
    <row r="7" spans="1:4" x14ac:dyDescent="0.25">
      <c r="A7" s="76">
        <v>2030</v>
      </c>
      <c r="B7" s="215">
        <v>2864790.7596825948</v>
      </c>
      <c r="C7" s="215">
        <v>788679.64758670493</v>
      </c>
      <c r="D7" s="215">
        <v>3653470.4072693</v>
      </c>
    </row>
    <row r="8" spans="1:4" x14ac:dyDescent="0.25">
      <c r="A8" s="76">
        <v>2050</v>
      </c>
      <c r="B8" s="215">
        <v>2925496.1196818841</v>
      </c>
      <c r="C8" s="215">
        <v>840705.04818703001</v>
      </c>
      <c r="D8" s="215">
        <v>3766201.1678689141</v>
      </c>
    </row>
    <row r="9" spans="1:4" x14ac:dyDescent="0.25">
      <c r="A9" s="76" t="s">
        <v>61</v>
      </c>
      <c r="B9" s="215">
        <v>8800578.9441841338</v>
      </c>
      <c r="C9" s="215">
        <v>2457092.6309540803</v>
      </c>
      <c r="D9" s="215">
        <v>11257671.575138213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5">
        <v>880.09999999999991</v>
      </c>
      <c r="C6" s="215">
        <v>76.5</v>
      </c>
      <c r="D6" s="215">
        <v>956.59999999999991</v>
      </c>
    </row>
    <row r="7" spans="1:4" x14ac:dyDescent="0.25">
      <c r="A7" s="76">
        <v>2030</v>
      </c>
      <c r="B7" s="215">
        <v>880.09999999999991</v>
      </c>
      <c r="C7" s="215">
        <v>382.5</v>
      </c>
      <c r="D7" s="215">
        <v>1262.5999999999999</v>
      </c>
    </row>
    <row r="8" spans="1:4" x14ac:dyDescent="0.25">
      <c r="A8" s="76">
        <v>2050</v>
      </c>
      <c r="B8" s="215">
        <v>880.09999999999991</v>
      </c>
      <c r="C8" s="215">
        <v>382.5</v>
      </c>
      <c r="D8" s="215">
        <v>1262.5999999999999</v>
      </c>
    </row>
    <row r="9" spans="1:4" x14ac:dyDescent="0.25">
      <c r="A9" s="76" t="s">
        <v>61</v>
      </c>
      <c r="B9" s="215">
        <v>2640.2999999999997</v>
      </c>
      <c r="C9" s="215">
        <v>841.5</v>
      </c>
      <c r="D9" s="215">
        <v>3481.7999999999997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5">
        <v>66640</v>
      </c>
      <c r="C5" s="215">
        <v>592120</v>
      </c>
      <c r="D5" s="215">
        <v>2578669.9999999995</v>
      </c>
      <c r="E5" s="215">
        <v>505590.00000000006</v>
      </c>
      <c r="F5" s="215">
        <v>562410</v>
      </c>
      <c r="G5" s="215">
        <v>4305430</v>
      </c>
    </row>
    <row r="6" spans="1:7" x14ac:dyDescent="0.25">
      <c r="A6" s="76">
        <v>2030</v>
      </c>
      <c r="B6" s="215">
        <v>66640</v>
      </c>
      <c r="C6" s="215">
        <v>592120</v>
      </c>
      <c r="D6" s="215">
        <v>2487929.2592592589</v>
      </c>
      <c r="E6" s="215">
        <v>531515.92592592596</v>
      </c>
      <c r="F6" s="215">
        <v>627224.81481481483</v>
      </c>
      <c r="G6" s="215">
        <v>4305430</v>
      </c>
    </row>
    <row r="7" spans="1:7" x14ac:dyDescent="0.25">
      <c r="A7" s="76">
        <v>2050</v>
      </c>
      <c r="B7" s="215">
        <v>66640</v>
      </c>
      <c r="C7" s="215">
        <v>592120</v>
      </c>
      <c r="D7" s="215">
        <v>2228670</v>
      </c>
      <c r="E7" s="215">
        <v>605590</v>
      </c>
      <c r="F7" s="215">
        <v>812410</v>
      </c>
      <c r="G7" s="215">
        <v>4305430</v>
      </c>
    </row>
    <row r="8" spans="1:7" x14ac:dyDescent="0.25">
      <c r="A8" s="76" t="s">
        <v>61</v>
      </c>
      <c r="B8" s="215">
        <v>199920</v>
      </c>
      <c r="C8" s="215">
        <v>1776360</v>
      </c>
      <c r="D8" s="215">
        <v>7295269.2592592584</v>
      </c>
      <c r="E8" s="215">
        <v>1642695.9259259261</v>
      </c>
      <c r="F8" s="215">
        <v>2002044.8148148148</v>
      </c>
      <c r="G8" s="215">
        <v>12916290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5">
        <v>76936.491003913645</v>
      </c>
      <c r="C6" s="215">
        <v>5112.5796318426765</v>
      </c>
      <c r="D6" s="215">
        <v>288510.97448626079</v>
      </c>
      <c r="E6" s="215">
        <v>12737.861407364735</v>
      </c>
      <c r="F6" s="215">
        <v>18955.494408534123</v>
      </c>
      <c r="G6" s="215">
        <v>55123.467536910946</v>
      </c>
      <c r="H6" s="215">
        <v>1338020.0537015593</v>
      </c>
      <c r="I6" s="215">
        <v>180387.32565123856</v>
      </c>
      <c r="J6" s="215">
        <v>69972.60108508839</v>
      </c>
      <c r="K6" s="215">
        <v>161391.51776080468</v>
      </c>
      <c r="L6" s="215">
        <v>33713.005264576917</v>
      </c>
      <c r="M6" s="215">
        <v>221142.47330260737</v>
      </c>
      <c r="N6" s="215">
        <v>8583.1535453348897</v>
      </c>
      <c r="O6" s="215">
        <v>108083.00121396239</v>
      </c>
      <c r="P6" s="215">
        <v>2578669.9999999995</v>
      </c>
    </row>
    <row r="7" spans="1:16" x14ac:dyDescent="0.25">
      <c r="A7" s="76">
        <v>2030</v>
      </c>
      <c r="B7" s="215">
        <v>74465.960662957616</v>
      </c>
      <c r="C7" s="215">
        <v>4965.7278060180488</v>
      </c>
      <c r="D7" s="215">
        <v>274118.94849419035</v>
      </c>
      <c r="E7" s="215">
        <v>12403.430241602413</v>
      </c>
      <c r="F7" s="215">
        <v>18343.468531193015</v>
      </c>
      <c r="G7" s="215">
        <v>53126.188735828859</v>
      </c>
      <c r="H7" s="215">
        <v>1297917.718029706</v>
      </c>
      <c r="I7" s="215">
        <v>174456.26406747426</v>
      </c>
      <c r="J7" s="215">
        <v>67756.15488584133</v>
      </c>
      <c r="K7" s="215">
        <v>156813.07759481133</v>
      </c>
      <c r="L7" s="215">
        <v>33091.703230921303</v>
      </c>
      <c r="M7" s="215">
        <v>207998.55904521749</v>
      </c>
      <c r="N7" s="215">
        <v>8158.5416009002738</v>
      </c>
      <c r="O7" s="215">
        <v>104313.51633259642</v>
      </c>
      <c r="P7" s="215">
        <v>2487929.2592592584</v>
      </c>
    </row>
    <row r="8" spans="1:16" x14ac:dyDescent="0.25">
      <c r="A8" s="76">
        <v>2050</v>
      </c>
      <c r="B8" s="215">
        <v>67401.823042054006</v>
      </c>
      <c r="C8" s="215">
        <v>4544.0123810345967</v>
      </c>
      <c r="D8" s="215">
        <v>232820.24745657752</v>
      </c>
      <c r="E8" s="215">
        <v>11446.944760904047</v>
      </c>
      <c r="F8" s="215">
        <v>16591.471711632348</v>
      </c>
      <c r="G8" s="215">
        <v>47414.837867163187</v>
      </c>
      <c r="H8" s="215">
        <v>1183051.5320061678</v>
      </c>
      <c r="I8" s="215">
        <v>157504.132423776</v>
      </c>
      <c r="J8" s="215">
        <v>61408.179534528455</v>
      </c>
      <c r="K8" s="215">
        <v>143705.68991029685</v>
      </c>
      <c r="L8" s="215">
        <v>31310.50853367247</v>
      </c>
      <c r="M8" s="215">
        <v>171131.79922201723</v>
      </c>
      <c r="N8" s="215">
        <v>6935.410038090351</v>
      </c>
      <c r="O8" s="215">
        <v>93403.411112084825</v>
      </c>
      <c r="P8" s="215">
        <v>2228669.9999999995</v>
      </c>
    </row>
    <row r="9" spans="1:16" x14ac:dyDescent="0.25">
      <c r="A9" s="76" t="s">
        <v>61</v>
      </c>
      <c r="B9" s="215">
        <v>218804.27470892528</v>
      </c>
      <c r="C9" s="215">
        <v>14622.319818895321</v>
      </c>
      <c r="D9" s="215">
        <v>795450.17043702863</v>
      </c>
      <c r="E9" s="215">
        <v>36588.236409871199</v>
      </c>
      <c r="F9" s="215">
        <v>53890.434651359479</v>
      </c>
      <c r="G9" s="215">
        <v>155664.49413990299</v>
      </c>
      <c r="H9" s="215">
        <v>3818989.3037374332</v>
      </c>
      <c r="I9" s="215">
        <v>512347.72214248881</v>
      </c>
      <c r="J9" s="215">
        <v>199136.93550545818</v>
      </c>
      <c r="K9" s="215">
        <v>461910.28526591288</v>
      </c>
      <c r="L9" s="215">
        <v>98115.217029170701</v>
      </c>
      <c r="M9" s="215">
        <v>600272.83156984206</v>
      </c>
      <c r="N9" s="215">
        <v>23677.105184325515</v>
      </c>
      <c r="O9" s="215">
        <v>305799.92865864362</v>
      </c>
      <c r="P9" s="215">
        <v>7295269.2592592575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1797607.2776597517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491333.38307711121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82351.182880658438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58288.817119341562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1636839.1020767612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68352.776296296302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72287.223703703698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537513.90752543334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135891.43173770356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12507.261563786009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8852.7384362139928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513096.89792323852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10381.223703703705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10978.776296296297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9723529.5356878359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8686398.2742639016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637730.00302184175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809789.15928333369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5676622.0065761693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2672553.6406960608</v>
      </c>
      <c r="J16" s="74">
        <f t="shared" si="2"/>
        <v>2672553.6406960608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55949.560086021185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215965.30193204177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92481.042050347532</v>
      </c>
      <c r="J17" s="74">
        <f t="shared" si="2"/>
        <v>92481.042050347532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981800.42573609971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94087.082412375472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413983.16261445213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318932.62847817392</v>
      </c>
      <c r="J18" s="74">
        <f t="shared" si="2"/>
        <v>318932.62847817392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179394.47433816589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8901553.8166597914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8901553.8166597914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6942.1581713830101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144049.78205619747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144049.78205619747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41355.317643651651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1756397.5382306445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1756397.5382306445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4037.1409759488074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328032.76825470605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328032.76825470605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138250.29972976272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6153520.840971739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6153520.840971739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2540.3874452133937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21567.889409861717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21567.889409861717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44929.041857570082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1338703.1930650962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1338703.1930650962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47261.400630257056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675311.57290438947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161823.03575800019</v>
      </c>
      <c r="J26" s="74">
        <f t="shared" si="2"/>
        <v>161823.03575800019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12741.4251138164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637071.25569082005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637071.25569082005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 t="shared" ref="F28" si="4"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4686.7049638673298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114309.87716749586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 t="shared" ref="J28" si="5">IF(I28&lt;&gt;0,I28,H28)</f>
        <v>114309.87716749586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112966.14252431852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1557803.1054103526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1557803.1054103526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Halm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703268.18873094791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4929910.0030039446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2806351.2692099959</v>
      </c>
      <c r="J30" s="74">
        <f t="shared" si="2"/>
        <v>2806351.2692099959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48589.864819642906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187556.87820382163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97110.97498056601</v>
      </c>
      <c r="J31" s="74">
        <f t="shared" si="2"/>
        <v>97110.97498056601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81710.716021056694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359527.15049264947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334899.54068390297</v>
      </c>
      <c r="J32" s="74">
        <f t="shared" si="2"/>
        <v>334899.54068390297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155796.63618588899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7730629.0875438116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7730629.0875438116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6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6028.9755019603408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125101.24166567708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125101.24166567708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6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35915.372538925141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1525358.1765605931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1525358.1765605931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6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3506.0889482883485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284882.80946987716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284882.80946987716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6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120064.63258721215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5344076.7964568138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5344076.7964568138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6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2206.2207882002126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18730.814491819805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18730.814491819805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6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39019.003312607769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1162608.0184481952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1162608.0184481952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6"/>
        <v>JB1-10</v>
      </c>
      <c r="F40" t="str">
        <f t="shared" si="1"/>
        <v>Halm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41044.559854992149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586480.00070268649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169924.47779966751</v>
      </c>
      <c r="J40" s="74">
        <f t="shared" si="2"/>
        <v>169924.47779966751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6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11065.397528382413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553269.8764191207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553269.8764191207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6"/>
        <v>JB1-10</v>
      </c>
      <c r="F42" t="str">
        <f t="shared" ref="F42" si="7"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4070.2082428126114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99273.37177591736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 t="shared" ref="J42" si="8">IF(I42&lt;&gt;0,I42,H42)</f>
        <v>99273.37177591736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6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98106.394152410197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1352887.1753617367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1352887.1753617367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6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6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6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6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6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6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6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6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6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6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6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6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6"/>
        <v>JB1-10</v>
      </c>
      <c r="F56" t="str">
        <f t="shared" ref="F56" si="9"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6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6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126383.27919450874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593584.34739284916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279459.51075255353</v>
      </c>
      <c r="J58" s="74">
        <f t="shared" si="2"/>
        <v>279459.51075255353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6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8732.0122677605341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19212.173391526729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8227.0707349991262</v>
      </c>
      <c r="J59" s="74">
        <f t="shared" si="2"/>
        <v>8227.0707349991262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6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14684.111127942995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35535.548929622055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27376.586895380835</v>
      </c>
      <c r="J60" s="74">
        <f t="shared" si="2"/>
        <v>27376.586895380835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6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27997.981544106817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1083622.6784904927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1083622.6784904927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6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1083.4582117187358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12814.601999103348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12814.601999103348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6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6454.2981293560397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156248.31279404403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156248.31279404403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6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630.07402514807984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29181.643372485123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29181.643372485123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6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21576.636374009206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797112.15055593429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797112.15055593429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11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396.47665329920017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1918.6694683108196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1918.6694683108196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11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7012.0469951120949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119090.41700157127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119090.41700157127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11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7376.0567457626612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60075.405242766195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14395.702429570072</v>
      </c>
      <c r="J68" s="74">
        <f t="shared" si="2"/>
        <v>14395.702429570072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11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1988.5461160291493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56673.564306830755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56673.564306830755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11"/>
        <v>JB1-10</v>
      </c>
      <c r="F70" t="str">
        <f t="shared" ref="F70" si="12"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731.451063724959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10168.953812761625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 t="shared" ref="J70" si="13">IF(I70&lt;&gt;0,I70,H70)</f>
        <v>10168.953812761625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11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17630.554035587287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243125.34015074873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243125.34015074873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11"/>
        <v>JB1-10</v>
      </c>
      <c r="F72" t="str">
        <f t="shared" ref="F72:F139" si="14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149178.10063989804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700644.78527540923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398842.04401802667</v>
      </c>
      <c r="J72" s="74">
        <f t="shared" ref="J72:J139" si="15">IF(I72&lt;&gt;0,I72,H72)</f>
        <v>398842.04401802667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11"/>
        <v>JB1-10</v>
      </c>
      <c r="F73" t="str">
        <f t="shared" si="14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10306.941022348496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22677.33163737116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11741.599702195708</v>
      </c>
      <c r="J73" s="74">
        <f t="shared" si="15"/>
        <v>11741.599702195708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11"/>
        <v>JB1-10</v>
      </c>
      <c r="F74" t="str">
        <f t="shared" si="14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17332.576125678694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41944.834224142447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39071.61307978868</v>
      </c>
      <c r="J74" s="74">
        <f t="shared" si="15"/>
        <v>39071.61307978868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11"/>
        <v>JB1-10</v>
      </c>
      <c r="F75" t="str">
        <f t="shared" si="14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33047.771312158278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1279067.7217572492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15"/>
        <v>1279067.7217572492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11"/>
        <v>JB1-10</v>
      </c>
      <c r="F76" t="str">
        <f t="shared" si="14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1278.8735913249209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15125.877401395501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15"/>
        <v>15125.877401395501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11"/>
        <v>JB1-10</v>
      </c>
      <c r="F77" t="str">
        <f t="shared" si="14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7618.4123567416955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184429.67043868985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15"/>
        <v>184429.67043868985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11"/>
        <v>JB1-10</v>
      </c>
      <c r="F78" t="str">
        <f t="shared" si="14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743.71583751571029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34444.921508630599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15"/>
        <v>34444.921508630599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11"/>
        <v>JB1-10</v>
      </c>
      <c r="F79" t="str">
        <f t="shared" si="14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25468.255397287427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940881.39961860876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15"/>
        <v>940881.39961860876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11"/>
        <v>JB1-10</v>
      </c>
      <c r="F80" t="str">
        <f t="shared" si="14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467.98622780004507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2264.7257521927581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15"/>
        <v>2264.7257521927581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11"/>
        <v>JB1-10</v>
      </c>
      <c r="F81" t="str">
        <f t="shared" si="14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8276.7582784319511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140569.8785941909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15"/>
        <v>140569.8785941909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11"/>
        <v>JB1-10</v>
      </c>
      <c r="F82" t="str">
        <f t="shared" si="14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8706.4217874225778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70910.763721324838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20545.414133959799</v>
      </c>
      <c r="J82" s="74">
        <f t="shared" si="15"/>
        <v>20545.414133959799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11"/>
        <v>JB1-10</v>
      </c>
      <c r="F83" t="str">
        <f t="shared" si="14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2347.2055363235422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66895.357785220942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15"/>
        <v>66895.357785220942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11"/>
        <v>JB1-10</v>
      </c>
      <c r="F84" t="str">
        <f t="shared" ref="F84" si="16"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863.37750605116003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12003.053132906372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 t="shared" ref="J84" si="17">IF(I84&lt;&gt;0,I84,H84)</f>
        <v>12003.053132906372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11"/>
        <v>JB1-10</v>
      </c>
      <c r="F85" t="str">
        <f t="shared" si="14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20810.447244450646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286976.06750097446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15"/>
        <v>286976.06750097446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18">Organ6</f>
        <v>OC6</v>
      </c>
      <c r="F86" t="str">
        <f t="shared" si="14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18"/>
        <v>OC6</v>
      </c>
      <c r="F87" t="str">
        <f t="shared" si="14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18"/>
        <v>OC6</v>
      </c>
      <c r="F88" t="str">
        <f t="shared" si="14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18"/>
        <v>OC6</v>
      </c>
      <c r="F89" t="str">
        <f t="shared" si="14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18"/>
        <v>OC6</v>
      </c>
      <c r="F90" t="str">
        <f t="shared" si="14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18"/>
        <v>OC6</v>
      </c>
      <c r="F91" t="str">
        <f t="shared" si="14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18"/>
        <v>OC6</v>
      </c>
      <c r="F92" t="str">
        <f t="shared" si="14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18"/>
        <v>OC6</v>
      </c>
      <c r="F93" t="str">
        <f t="shared" si="14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18"/>
        <v>OC6</v>
      </c>
      <c r="F94" t="str">
        <f t="shared" si="14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18"/>
        <v>OC6</v>
      </c>
      <c r="F95" t="str">
        <f t="shared" si="14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18"/>
        <v>OC6</v>
      </c>
      <c r="F96" t="str">
        <f t="shared" si="14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18"/>
        <v>OC6</v>
      </c>
      <c r="F97" t="str">
        <f t="shared" si="14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18"/>
        <v>OC6</v>
      </c>
      <c r="F98" t="str">
        <f t="shared" ref="F98" si="19"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18"/>
        <v>OC6</v>
      </c>
      <c r="F99" t="str">
        <f t="shared" si="14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18"/>
        <v>OC6</v>
      </c>
      <c r="F100" t="str">
        <f t="shared" si="14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20843.531266124886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175335.78501064255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82548.087583010521</v>
      </c>
      <c r="J100" s="74">
        <f t="shared" si="15"/>
        <v>82548.087583010521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18"/>
        <v>OC6</v>
      </c>
      <c r="F101" t="str">
        <f t="shared" si="14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1786.7951054397183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8276.4349283967749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3544.1495452861272</v>
      </c>
      <c r="J101" s="74">
        <f t="shared" si="15"/>
        <v>3544.1495452861272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18"/>
        <v>OC6</v>
      </c>
      <c r="F102" t="str">
        <f t="shared" si="14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1913.2698208119741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10102.064653887224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7782.6306093547173</v>
      </c>
      <c r="J102" s="74">
        <f t="shared" si="15"/>
        <v>7782.6306093547173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18"/>
        <v>OC6</v>
      </c>
      <c r="F103" t="str">
        <f t="shared" si="14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17656.329249729286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1051328.4688458806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15"/>
        <v>1051328.4688458806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18"/>
        <v>OC6</v>
      </c>
      <c r="F104" t="str">
        <f t="shared" si="14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82.579316026090069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2056.2249690496424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15"/>
        <v>2056.2249690496424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18"/>
        <v>OC6</v>
      </c>
      <c r="F105" t="str">
        <f t="shared" si="14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1303.7133622629699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66443.854977046722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15"/>
        <v>66443.854977046722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18"/>
        <v>OC6</v>
      </c>
      <c r="F106" t="str">
        <f t="shared" si="14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34.203336491457428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3334.9784571849705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15"/>
        <v>3334.9784571849705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18"/>
        <v>OC6</v>
      </c>
      <c r="F107" t="str">
        <f t="shared" si="14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4415.1367500105207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235821.28409156195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15"/>
        <v>235821.28409156195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18"/>
        <v>OC6</v>
      </c>
      <c r="F108" t="str">
        <f t="shared" si="14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75.215650030725556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766.29704251303201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15"/>
        <v>766.29704251303201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18"/>
        <v>OC6</v>
      </c>
      <c r="F109" t="str">
        <f t="shared" si="14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1330.2565696985414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47563.499522557722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15"/>
        <v>47563.499522557722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18"/>
        <v>OC6</v>
      </c>
      <c r="F110" t="str">
        <f t="shared" si="14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3283.4655055701205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56300.377701230325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13491.103069286512</v>
      </c>
      <c r="J110" s="74">
        <f t="shared" si="15"/>
        <v>13491.103069286512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18"/>
        <v>OC6</v>
      </c>
      <c r="F111" t="str">
        <f t="shared" si="14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377.24740533545247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22634.844320127148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15"/>
        <v>22634.844320127148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619.57934642519353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18134.029651469082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 t="shared" ref="J112" si="22">IF(I112&lt;&gt;0,I112,H112)</f>
        <v>18134.029651469082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18"/>
        <v>OC6</v>
      </c>
      <c r="F113" t="str">
        <f t="shared" si="14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17512.450507812609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289796.03100328305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15"/>
        <v>289796.03100328305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18"/>
        <v>OC6</v>
      </c>
      <c r="F114" t="str">
        <f t="shared" si="14"/>
        <v>Halm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16500.437390404819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138801.67932808533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79012.855957512569</v>
      </c>
      <c r="J114" s="74">
        <f t="shared" si="15"/>
        <v>79012.855957512569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18"/>
        <v>OC6</v>
      </c>
      <c r="F115" t="str">
        <f t="shared" si="14"/>
        <v>Halm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1414.4868444007736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6551.9030632643844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3392.366627900064</v>
      </c>
      <c r="J115" s="74">
        <f t="shared" si="15"/>
        <v>3392.366627900064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18"/>
        <v>OC6</v>
      </c>
      <c r="F116" t="str">
        <f t="shared" si="14"/>
        <v>Halm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1514.6084646686793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7997.132693450626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7449.3291039492588</v>
      </c>
      <c r="J116" s="74">
        <f t="shared" si="15"/>
        <v>7449.3291039492588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18"/>
        <v>OC6</v>
      </c>
      <c r="F117" t="str">
        <f t="shared" si="14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13977.341536317093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832266.82443846506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15"/>
        <v>832266.82443846506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23">Organ6</f>
        <v>OC6</v>
      </c>
      <c r="F118" t="str">
        <f t="shared" si="14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65.372552109030366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1627.7765475148562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15"/>
        <v>1627.7765475148562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23"/>
        <v>OC6</v>
      </c>
      <c r="F119" t="str">
        <f t="shared" si="14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1032.0631583197971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52599.180773542932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15"/>
        <v>52599.180773542932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23"/>
        <v>OC6</v>
      </c>
      <c r="F120" t="str">
        <f t="shared" si="14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27.076506620423842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2640.0806335806697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15"/>
        <v>2640.0806335806697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23"/>
        <v>OC6</v>
      </c>
      <c r="F121" t="str">
        <f t="shared" si="14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3495.1701121787992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186684.02603169403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15"/>
        <v>186684.02603169403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23"/>
        <v>OC6</v>
      </c>
      <c r="F122" t="str">
        <f t="shared" si="14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59.54322750136015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606.62640178385732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15"/>
        <v>606.62640178385732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23"/>
        <v>OC6</v>
      </c>
      <c r="F123" t="str">
        <f t="shared" si="14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1053.0756502454326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37652.859101471367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15"/>
        <v>37652.859101471367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23"/>
        <v>OC6</v>
      </c>
      <c r="F124" t="str">
        <f t="shared" si="14"/>
        <v>Halm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2599.3012559376307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44569.264461683793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12913.328639498148</v>
      </c>
      <c r="J124" s="74">
        <f t="shared" si="15"/>
        <v>12913.328639498148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23"/>
        <v>OC6</v>
      </c>
      <c r="F125" t="str">
        <f t="shared" si="14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298.64167990319493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17918.500794191696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15"/>
        <v>17918.500794191696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490.4797600535137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14355.505172297962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 t="shared" ref="J126" si="25">IF(I126&lt;&gt;0,I126,H126)</f>
        <v>14355.505172297962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23"/>
        <v>OC6</v>
      </c>
      <c r="F127" t="str">
        <f t="shared" si="14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13863.442305783894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229412.2432761119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15"/>
        <v>229412.2432761119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23"/>
        <v>OC6</v>
      </c>
      <c r="F128" t="str">
        <f t="shared" si="14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23"/>
        <v>OC6</v>
      </c>
      <c r="F129" t="str">
        <f t="shared" si="14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23"/>
        <v>OC6</v>
      </c>
      <c r="F130" t="str">
        <f t="shared" si="14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23"/>
        <v>OC6</v>
      </c>
      <c r="F131" t="str">
        <f t="shared" si="14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23"/>
        <v>OC6</v>
      </c>
      <c r="F132" t="str">
        <f t="shared" si="14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23"/>
        <v>OC6</v>
      </c>
      <c r="F133" t="str">
        <f t="shared" si="14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23"/>
        <v>OC6</v>
      </c>
      <c r="F134" t="str">
        <f t="shared" si="14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23"/>
        <v>OC6</v>
      </c>
      <c r="F135" t="str">
        <f t="shared" si="14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23"/>
        <v>OC6</v>
      </c>
      <c r="F136" t="str">
        <f t="shared" si="14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23"/>
        <v>OC6</v>
      </c>
      <c r="F137" t="str">
        <f t="shared" si="14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23"/>
        <v>OC6</v>
      </c>
      <c r="F138" t="str">
        <f t="shared" si="14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23"/>
        <v>OC6</v>
      </c>
      <c r="F139" t="str">
        <f t="shared" si="14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23"/>
        <v>OC6</v>
      </c>
      <c r="F141" t="str">
        <f t="shared" ref="F141:F208" si="28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23"/>
        <v>OC6</v>
      </c>
      <c r="F142" t="str">
        <f t="shared" si="28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3253.0366715917453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18334.24480255794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8631.7624530442808</v>
      </c>
      <c r="J142" s="74">
        <f t="shared" si="29"/>
        <v>8631.7624530442808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23"/>
        <v>OC6</v>
      </c>
      <c r="F143" t="str">
        <f t="shared" si="28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278.86397599348209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736.26782397703118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315.28590463556941</v>
      </c>
      <c r="J143" s="74">
        <f t="shared" si="29"/>
        <v>315.28590463556941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23"/>
        <v>OC6</v>
      </c>
      <c r="F144" t="str">
        <f t="shared" si="28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298.60280440418097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867.14254398974163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668.04661588969702</v>
      </c>
      <c r="J144" s="74">
        <f t="shared" si="29"/>
        <v>668.04661588969702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23"/>
        <v>OC6</v>
      </c>
      <c r="F145" t="str">
        <f t="shared" si="28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2755.6120794375188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127982.52921326154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29"/>
        <v>127982.52921326154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23"/>
        <v>OC6</v>
      </c>
      <c r="F146" t="str">
        <f t="shared" si="28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12.888101345112323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182.92082239117917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29"/>
        <v>182.92082239117917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23"/>
        <v>OC6</v>
      </c>
      <c r="F147" t="str">
        <f t="shared" si="28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203.46971549768895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5910.8146132760057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29"/>
        <v>5910.8146132760057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23"/>
        <v>OC6</v>
      </c>
      <c r="F148" t="str">
        <f t="shared" si="28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5.3380929784355526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296.67814136460527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29"/>
        <v>296.67814136460527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23"/>
        <v>OC6</v>
      </c>
      <c r="F149" t="str">
        <f t="shared" si="28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689.0675852617577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30547.716627120833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29"/>
        <v>30547.716627120833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30">Organ6</f>
        <v>OC6</v>
      </c>
      <c r="F150" t="str">
        <f t="shared" si="28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11.73885867531555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68.169430544945442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29"/>
        <v>68.169430544945442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30"/>
        <v>OC6</v>
      </c>
      <c r="F151" t="str">
        <f t="shared" si="28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207.61229700497469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4231.2269228448749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29"/>
        <v>4231.2269228448749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30"/>
        <v>OC6</v>
      </c>
      <c r="F152" t="str">
        <f t="shared" si="28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512.44837370169512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5008.4555654447104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1200.1622903833493</v>
      </c>
      <c r="J152" s="74">
        <f t="shared" si="29"/>
        <v>1200.1622903833493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30"/>
        <v>OC6</v>
      </c>
      <c r="F153" t="str">
        <f t="shared" si="28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58.876762682411666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2013.5852837384791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29"/>
        <v>2013.5852837384791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96.697354644394366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1613.1948921162375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 t="shared" ref="J154" si="32">IF(I154&lt;&gt;0,I154,H154)</f>
        <v>1613.1948921162375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30"/>
        <v>OC6</v>
      </c>
      <c r="F155" t="str">
        <f t="shared" si="28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2733.1570156701764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45228.282295310084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29"/>
        <v>45228.282295310084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30"/>
        <v>OC6</v>
      </c>
      <c r="F156" t="str">
        <f t="shared" si="28"/>
        <v>Halm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3500.0927797828404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19726.66291056728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11229.402861840425</v>
      </c>
      <c r="J156" s="74">
        <f t="shared" si="29"/>
        <v>11229.402861840425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30"/>
        <v>OC6</v>
      </c>
      <c r="F157" t="str">
        <f t="shared" si="28"/>
        <v>Halm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300.04266396380046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792.18464310378454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410.16796500973498</v>
      </c>
      <c r="J157" s="74">
        <f t="shared" si="29"/>
        <v>410.16796500973498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30"/>
        <v>OC6</v>
      </c>
      <c r="F158" t="str">
        <f t="shared" si="28"/>
        <v>Halm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321.28058341456835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932.99881423590659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869.08839546074694</v>
      </c>
      <c r="J158" s="74">
        <f t="shared" si="29"/>
        <v>869.08839546074694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30"/>
        <v>OC6</v>
      </c>
      <c r="F159" t="str">
        <f t="shared" si="28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2964.8906289157476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137702.32913436423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29"/>
        <v>137702.32913436423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30"/>
        <v>OC6</v>
      </c>
      <c r="F160" t="str">
        <f t="shared" si="28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13.866904992824622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196.81298256315984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29"/>
        <v>196.81298256315984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30"/>
        <v>OC6</v>
      </c>
      <c r="F161" t="str">
        <f t="shared" si="28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218.92248812844184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6359.7191298920079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29"/>
        <v>6359.7191298920079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30"/>
        <v>OC6</v>
      </c>
      <c r="F162" t="str">
        <f t="shared" si="28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5.7435014043323305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319.20974933293547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29"/>
        <v>319.20974933293547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30"/>
        <v>OC6</v>
      </c>
      <c r="F163" t="str">
        <f t="shared" si="28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741.39972076519973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32867.702764973998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29"/>
        <v>32867.702764973998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30"/>
        <v>OC6</v>
      </c>
      <c r="F164" t="str">
        <f t="shared" si="28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12.630381591197606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73.346646761139084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29"/>
        <v>73.346646761139084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30"/>
        <v>OC6</v>
      </c>
      <c r="F165" t="str">
        <f t="shared" si="28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223.3796833853948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4552.5729640869913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29"/>
        <v>4552.5729640869913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30"/>
        <v>OC6</v>
      </c>
      <c r="F166" t="str">
        <f t="shared" si="28"/>
        <v>Halm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551.36693307767916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5388.8292485490392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1561.3388264120485</v>
      </c>
      <c r="J166" s="74">
        <f t="shared" si="29"/>
        <v>1561.3388264120485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30"/>
        <v>OC6</v>
      </c>
      <c r="F167" t="str">
        <f t="shared" si="28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63.34823513098074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2166.5096414795412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29"/>
        <v>2166.5096414795412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104.0411612234726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1735.7110799232989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 t="shared" ref="J168" si="34">IF(I168&lt;&gt;0,I168,H168)</f>
        <v>1735.7110799232989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30"/>
        <v>OC6</v>
      </c>
      <c r="F169" t="str">
        <f t="shared" si="28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2940.7301860753714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48663.203119175247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29"/>
        <v>48663.203119175247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35">Organ12</f>
        <v>OC12</v>
      </c>
      <c r="F170" t="str">
        <f t="shared" si="28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35"/>
        <v>OC12</v>
      </c>
      <c r="F171" t="str">
        <f t="shared" si="28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35"/>
        <v>OC12</v>
      </c>
      <c r="F172" t="str">
        <f t="shared" si="28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35"/>
        <v>OC12</v>
      </c>
      <c r="F173" t="str">
        <f t="shared" si="28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35"/>
        <v>OC12</v>
      </c>
      <c r="F174" t="str">
        <f t="shared" si="28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35"/>
        <v>OC12</v>
      </c>
      <c r="F175" t="str">
        <f t="shared" si="28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35"/>
        <v>OC12</v>
      </c>
      <c r="F176" t="str">
        <f t="shared" si="28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35"/>
        <v>OC12</v>
      </c>
      <c r="F177" t="str">
        <f t="shared" si="28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35"/>
        <v>OC12</v>
      </c>
      <c r="F178" t="str">
        <f t="shared" si="28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35"/>
        <v>OC12</v>
      </c>
      <c r="F179" t="str">
        <f t="shared" si="28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35"/>
        <v>OC12</v>
      </c>
      <c r="F180" t="str">
        <f t="shared" si="28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35"/>
        <v>OC12</v>
      </c>
      <c r="F181" t="str">
        <f t="shared" si="28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35"/>
        <v>OC12</v>
      </c>
      <c r="F183" t="str">
        <f t="shared" si="28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35"/>
        <v>OC12</v>
      </c>
      <c r="F184" t="str">
        <f t="shared" si="28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8269.0161200631464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81152.124202299703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38206.420074442714</v>
      </c>
      <c r="J184" s="74">
        <f t="shared" si="29"/>
        <v>38206.420074442714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35"/>
        <v>OC12</v>
      </c>
      <c r="F185" t="str">
        <f t="shared" si="28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476.12351737499114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2572.9714878944524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1101.8023832420477</v>
      </c>
      <c r="J185" s="74">
        <f t="shared" si="29"/>
        <v>1101.8023832420477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35"/>
        <v>OC12</v>
      </c>
      <c r="F186" t="str">
        <f t="shared" si="28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616.55839503976472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3797.9997134449509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2925.9789792379906</v>
      </c>
      <c r="J186" s="74">
        <f t="shared" si="29"/>
        <v>2925.9789792379906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35"/>
        <v>OC12</v>
      </c>
      <c r="F187" t="str">
        <f t="shared" si="28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14219.782896462779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987819.87825147621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29"/>
        <v>987819.87825147621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35"/>
        <v>OC12</v>
      </c>
      <c r="F188" t="str">
        <f t="shared" si="28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16.527831515094178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480.13350551348589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29"/>
        <v>480.13350551348589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35"/>
        <v>OC12</v>
      </c>
      <c r="F189" t="str">
        <f t="shared" si="28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874.82296878583463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52016.325706991804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29"/>
        <v>52016.325706991804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35"/>
        <v>OC12</v>
      </c>
      <c r="F190" t="str">
        <f t="shared" si="28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9.4603904307598334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1076.1688314489425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29"/>
        <v>1076.1688314489425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35"/>
        <v>OC12</v>
      </c>
      <c r="F191" t="str">
        <f t="shared" si="28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1176.4921633749784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73311.932668548412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29"/>
        <v>73311.932668548412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35"/>
        <v>OC12</v>
      </c>
      <c r="F192" t="str">
        <f t="shared" si="28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33.714690278143649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400.73280864601543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29"/>
        <v>400.73280864601543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35"/>
        <v>OC12</v>
      </c>
      <c r="F193" t="str">
        <f t="shared" si="28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596.27468777483512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24873.193677220581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29"/>
        <v>24873.193677220581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35"/>
        <v>OC12</v>
      </c>
      <c r="F194" t="str">
        <f t="shared" si="28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1897.1467002204627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37951.291055696296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9094.1624221768125</v>
      </c>
      <c r="J194" s="74">
        <f t="shared" si="29"/>
        <v>9094.1624221768125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35"/>
        <v>OC12</v>
      </c>
      <c r="F195" t="str">
        <f t="shared" si="28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169.09751393390181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11836.825975373127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29"/>
        <v>11836.825975373127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399.1587138370042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13629.809740775754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 t="shared" ref="J196" si="39">IF(I196&lt;&gt;0,I196,H196)</f>
        <v>13629.809740775754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35"/>
        <v>OC12</v>
      </c>
      <c r="F197" t="str">
        <f t="shared" si="28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14762.990467149724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285014.29395879258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29"/>
        <v>285014.29395879258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35"/>
        <v>OC12</v>
      </c>
      <c r="F198" t="str">
        <f t="shared" si="28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35"/>
        <v>OC12</v>
      </c>
      <c r="F199" t="str">
        <f t="shared" si="28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35"/>
        <v>OC12</v>
      </c>
      <c r="F200" t="str">
        <f t="shared" si="28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35"/>
        <v>OC12</v>
      </c>
      <c r="F201" t="str">
        <f t="shared" si="28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40">Organ12</f>
        <v>OC12</v>
      </c>
      <c r="F202" t="str">
        <f t="shared" si="28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40"/>
        <v>OC12</v>
      </c>
      <c r="F203" t="str">
        <f t="shared" si="28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40"/>
        <v>OC12</v>
      </c>
      <c r="F204" t="str">
        <f t="shared" si="28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40"/>
        <v>OC12</v>
      </c>
      <c r="F205" t="str">
        <f t="shared" si="28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40"/>
        <v>OC12</v>
      </c>
      <c r="F206" t="str">
        <f t="shared" si="28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40"/>
        <v>OC12</v>
      </c>
      <c r="F207" t="str">
        <f t="shared" si="28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40"/>
        <v>OC12</v>
      </c>
      <c r="F208" t="str">
        <f t="shared" si="28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40"/>
        <v>OC12</v>
      </c>
      <c r="F211" t="str">
        <f t="shared" si="41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40"/>
        <v>OC12</v>
      </c>
      <c r="F212" t="str">
        <f t="shared" si="41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40"/>
        <v>OC12</v>
      </c>
      <c r="F213" t="str">
        <f t="shared" si="41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40"/>
        <v>OC12</v>
      </c>
      <c r="F214" t="str">
        <f t="shared" si="41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40"/>
        <v>OC12</v>
      </c>
      <c r="F215" t="str">
        <f t="shared" si="41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40"/>
        <v>OC12</v>
      </c>
      <c r="F216" t="str">
        <f t="shared" si="41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40"/>
        <v>OC12</v>
      </c>
      <c r="F217" t="str">
        <f t="shared" si="41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40"/>
        <v>OC12</v>
      </c>
      <c r="F218" t="str">
        <f t="shared" si="41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40"/>
        <v>OC12</v>
      </c>
      <c r="F219" t="str">
        <f t="shared" si="41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40"/>
        <v>OC12</v>
      </c>
      <c r="F220" t="str">
        <f t="shared" si="41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40"/>
        <v>OC12</v>
      </c>
      <c r="F221" t="str">
        <f t="shared" si="41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40"/>
        <v>OC12</v>
      </c>
      <c r="F222" t="str">
        <f t="shared" si="41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40"/>
        <v>OC12</v>
      </c>
      <c r="F223" t="str">
        <f t="shared" si="41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40"/>
        <v>OC12</v>
      </c>
      <c r="F225" t="str">
        <f t="shared" si="41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40"/>
        <v>OC12</v>
      </c>
      <c r="F226" t="str">
        <f t="shared" si="41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1290.5400881023411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8485.7914845063697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3995.1106309056008</v>
      </c>
      <c r="J226" s="74">
        <f t="shared" si="42"/>
        <v>3995.1106309056008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40"/>
        <v>OC12</v>
      </c>
      <c r="F227" t="str">
        <f t="shared" si="41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74.308294619218273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228.89035374968569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98.015830509220322</v>
      </c>
      <c r="J227" s="74">
        <f t="shared" si="42"/>
        <v>98.015830509220322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40"/>
        <v>OC12</v>
      </c>
      <c r="F228" t="str">
        <f t="shared" si="41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96.225876682506637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326.01327020033256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251.1606233623362</v>
      </c>
      <c r="J228" s="74">
        <f t="shared" si="42"/>
        <v>251.1606233623362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40"/>
        <v>OC12</v>
      </c>
      <c r="F229" t="str">
        <f t="shared" si="41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2219.2724751704914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120251.36783801208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42"/>
        <v>120251.36783801208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40"/>
        <v>OC12</v>
      </c>
      <c r="F230" t="str">
        <f t="shared" si="41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2.5794881555349294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42.712454623425124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42"/>
        <v>42.712454623425124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40"/>
        <v>OC12</v>
      </c>
      <c r="F231" t="str">
        <f t="shared" si="41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136.5330644925869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4627.3482811017566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42"/>
        <v>4627.3482811017566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40"/>
        <v>OC12</v>
      </c>
      <c r="F232" t="str">
        <f t="shared" si="41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1.4764771192515349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95.73548159537124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42"/>
        <v>95.73548159537124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40"/>
        <v>OC12</v>
      </c>
      <c r="F233" t="str">
        <f t="shared" si="41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183.61438387933188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9496.6497751570496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42"/>
        <v>9496.6497751570496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47">Organ12</f>
        <v>OC12</v>
      </c>
      <c r="F234" t="str">
        <f t="shared" si="41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5.2618302746235761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35.649005347180221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42"/>
        <v>35.649005347180221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47"/>
        <v>OC12</v>
      </c>
      <c r="F235" t="str">
        <f t="shared" si="41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93.060211386823994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2212.7078074706633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42"/>
        <v>2212.7078074706633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47"/>
        <v>OC12</v>
      </c>
      <c r="F236" t="str">
        <f t="shared" si="41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296.08647922515894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3376.1293025847745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809.01248368382142</v>
      </c>
      <c r="J236" s="74">
        <f t="shared" si="42"/>
        <v>809.01248368382142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47"/>
        <v>OC12</v>
      </c>
      <c r="F237" t="str">
        <f t="shared" si="41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26.390941481013577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1052.9985650924416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42"/>
        <v>1052.9985650924416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62.296446668202975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1212.5015717372187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 t="shared" ref="J238" si="49">IF(I238&lt;&gt;0,I238,H238)</f>
        <v>1212.5015717372187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47"/>
        <v>OC12</v>
      </c>
      <c r="F239" t="str">
        <f t="shared" si="41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2304.0505353355065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44481.999635187291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42"/>
        <v>44481.999635187291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47"/>
        <v>OC12</v>
      </c>
      <c r="F240" t="str">
        <f t="shared" si="41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47"/>
        <v>OC12</v>
      </c>
      <c r="F241" t="str">
        <f t="shared" si="41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47"/>
        <v>OC12</v>
      </c>
      <c r="F242" t="str">
        <f t="shared" si="41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47"/>
        <v>OC12</v>
      </c>
      <c r="F243" t="str">
        <f t="shared" si="41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47"/>
        <v>OC12</v>
      </c>
      <c r="F244" t="str">
        <f t="shared" si="41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47"/>
        <v>OC12</v>
      </c>
      <c r="F245" t="str">
        <f t="shared" si="41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47"/>
        <v>OC12</v>
      </c>
      <c r="F246" t="str">
        <f t="shared" si="41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47"/>
        <v>OC12</v>
      </c>
      <c r="F247" t="str">
        <f t="shared" si="41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47"/>
        <v>OC12</v>
      </c>
      <c r="F248" t="str">
        <f t="shared" si="41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47"/>
        <v>OC12</v>
      </c>
      <c r="F249" t="str">
        <f t="shared" si="41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47"/>
        <v>OC12</v>
      </c>
      <c r="F250" t="str">
        <f t="shared" si="41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47"/>
        <v>OC12</v>
      </c>
      <c r="F251" t="str">
        <f t="shared" si="41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47"/>
        <v>OC12</v>
      </c>
      <c r="F253" t="str">
        <f t="shared" si="41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52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52"/>
        <v>JB1-10</v>
      </c>
      <c r="F255" t="str">
        <f t="shared" ref="F255:F265" si="53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52"/>
        <v>JB1-10</v>
      </c>
      <c r="F256" t="str">
        <f t="shared" si="53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52"/>
        <v>JB1-10</v>
      </c>
      <c r="F257" t="str">
        <f t="shared" si="53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52"/>
        <v>JB1-10</v>
      </c>
      <c r="F258" t="str">
        <f t="shared" si="53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52"/>
        <v>JB1-10</v>
      </c>
      <c r="F259" t="str">
        <f t="shared" si="53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52"/>
        <v>JB1-10</v>
      </c>
      <c r="F260" t="str">
        <f t="shared" si="53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52"/>
        <v>JB1-10</v>
      </c>
      <c r="F261" t="str">
        <f t="shared" si="53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52"/>
        <v>JB1-10</v>
      </c>
      <c r="F262" t="str">
        <f t="shared" si="53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52"/>
        <v>JB1-10</v>
      </c>
      <c r="F263" t="str">
        <f t="shared" si="53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52"/>
        <v>JB1-10</v>
      </c>
      <c r="F264" t="str">
        <f t="shared" si="53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52"/>
        <v>JB1-10</v>
      </c>
      <c r="F265" t="str">
        <f t="shared" si="53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52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52"/>
        <v>JB1-10</v>
      </c>
      <c r="F267" t="str">
        <f t="shared" ref="F267:F335" si="54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52"/>
        <v>JB1-10</v>
      </c>
      <c r="F268" t="str">
        <f t="shared" si="54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277847.44549518183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1947710.5929212247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916982.14714731264</v>
      </c>
      <c r="J268" s="74">
        <f t="shared" si="42"/>
        <v>916982.14714731264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52"/>
        <v>JB1-10</v>
      </c>
      <c r="F269" t="str">
        <f t="shared" si="54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6055.6397331754633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23374.769370057289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10009.584917996119</v>
      </c>
      <c r="J269" s="74">
        <f t="shared" si="42"/>
        <v>10009.584917996119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52"/>
        <v>JB1-10</v>
      </c>
      <c r="F270" t="str">
        <f t="shared" si="54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38413.381365538749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169018.87800837052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130212.14361764863</v>
      </c>
      <c r="J270" s="74">
        <f t="shared" si="42"/>
        <v>130212.14361764863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52"/>
        <v>JB1-10</v>
      </c>
      <c r="F271" t="str">
        <f t="shared" si="54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23337.085725305184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1157986.1936896432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42"/>
        <v>1157986.1936896432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52"/>
        <v>JB1-10</v>
      </c>
      <c r="F272" t="str">
        <f t="shared" si="54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3656.9274374465294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75881.244327015491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42"/>
        <v>75881.244327015491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52"/>
        <v>JB1-10</v>
      </c>
      <c r="F273" t="str">
        <f t="shared" si="54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2345.9279292965525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99633.669251129249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42"/>
        <v>99633.669251129249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52"/>
        <v>JB1-10</v>
      </c>
      <c r="F274" t="str">
        <f t="shared" si="54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24387.347223432687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1981562.9594681722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42"/>
        <v>1981562.9594681722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52"/>
        <v>JB1-10</v>
      </c>
      <c r="F275" t="str">
        <f t="shared" si="54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6897.6493288624933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307014.37162766961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42"/>
        <v>307014.37162766961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52"/>
        <v>JB1-10</v>
      </c>
      <c r="F276" t="str">
        <f t="shared" si="54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1604.9535438553075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13626.055587331561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42"/>
        <v>13626.055587331561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52"/>
        <v>JB1-10</v>
      </c>
      <c r="F277" t="str">
        <f t="shared" si="54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11460.146724373322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341465.88439495384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55">IF(I277&lt;&gt;0,I277,H277)</f>
        <v>341465.88439495384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52"/>
        <v>JB1-10</v>
      </c>
      <c r="F278" t="str">
        <f t="shared" si="54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35457.355952106635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506645.22209945583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121405.98678001313</v>
      </c>
      <c r="J278" s="74">
        <f t="shared" si="55"/>
        <v>121405.98678001313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52"/>
        <v>JB1-10</v>
      </c>
      <c r="F279" t="str">
        <f t="shared" si="54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2514.9530700143437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125747.65350071719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55"/>
        <v>125747.65350071719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52"/>
        <v>JB1-10</v>
      </c>
      <c r="F280" t="str">
        <f t="shared" si="54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1195.4478510811762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29157.264660516492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55"/>
        <v>29157.264660516492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52"/>
        <v>JB1-10</v>
      </c>
      <c r="F281" t="str">
        <f t="shared" si="54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29775.268629829476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410600.95440534852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55"/>
        <v>410600.95440534852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52"/>
        <v>JB1-10</v>
      </c>
      <c r="F282" t="str">
        <f t="shared" si="54"/>
        <v>Halm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252961.21164089115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1773258.0936026471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1009427.1697833068</v>
      </c>
      <c r="J282" s="74">
        <f t="shared" si="55"/>
        <v>1009427.1697833068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52"/>
        <v>JB1-10</v>
      </c>
      <c r="F283" t="str">
        <f t="shared" si="54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5513.2483274579954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21281.138543987865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11018.695408532636</v>
      </c>
      <c r="J283" s="74">
        <f t="shared" si="55"/>
        <v>11018.695408532636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52"/>
        <v>JB1-10</v>
      </c>
      <c r="F284" t="str">
        <f t="shared" si="54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34972.772472795026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153880.19888029812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143339.40525699768</v>
      </c>
      <c r="J284" s="74">
        <f t="shared" si="55"/>
        <v>143339.40525699768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52"/>
        <v>JB1-10</v>
      </c>
      <c r="F285" t="str">
        <f t="shared" si="54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21246.830147095647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1054267.7118988861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55"/>
        <v>1054267.7118988861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56">Jordbund1</f>
        <v>JB1-10</v>
      </c>
      <c r="F286" t="str">
        <f t="shared" si="54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3329.3838415920754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69084.714713035573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55"/>
        <v>69084.714713035573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56"/>
        <v>JB1-10</v>
      </c>
      <c r="F287" t="str">
        <f t="shared" si="54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2135.807908398976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90709.682966764973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55"/>
        <v>90709.682966764973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56"/>
        <v>JB1-10</v>
      </c>
      <c r="F288" t="str">
        <f t="shared" si="54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22203.021846582469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1804078.372131268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55"/>
        <v>1804078.372131268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56"/>
        <v>JB1-10</v>
      </c>
      <c r="F289" t="str">
        <f t="shared" si="54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6279.8408262972243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279515.71517848945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55"/>
        <v>279515.71517848945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56"/>
        <v>JB1-10</v>
      </c>
      <c r="F290" t="str">
        <f t="shared" si="54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1461.2011003283492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12405.597341787687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55"/>
        <v>12405.597341787687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56"/>
        <v>JB1-10</v>
      </c>
      <c r="F291" t="str">
        <f t="shared" si="54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10433.684555973852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310881.47561203281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55"/>
        <v>310881.47561203281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56"/>
        <v>JB1-10</v>
      </c>
      <c r="F292" t="str">
        <f t="shared" si="54"/>
        <v>Halm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32281.512278228936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461266.03404949862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133645.46083186779</v>
      </c>
      <c r="J292" s="74">
        <f t="shared" si="55"/>
        <v>133645.46083186779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56"/>
        <v>JB1-10</v>
      </c>
      <c r="F293" t="str">
        <f t="shared" si="54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2289.6938090504755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114484.69045252376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55"/>
        <v>114484.69045252376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56"/>
        <v>JB1-10</v>
      </c>
      <c r="F294" t="str">
        <f t="shared" si="54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1088.3740043895341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26545.707424134976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55"/>
        <v>26545.707424134976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56"/>
        <v>JB1-10</v>
      </c>
      <c r="F295" t="str">
        <f t="shared" si="54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27108.358027589973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373824.25720046577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55"/>
        <v>373824.25720046577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56"/>
        <v>JB1-10</v>
      </c>
      <c r="F296" t="str">
        <f t="shared" si="54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56"/>
        <v>JB1-10</v>
      </c>
      <c r="F297" t="str">
        <f t="shared" si="54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56"/>
        <v>JB1-10</v>
      </c>
      <c r="F298" t="str">
        <f t="shared" si="54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56"/>
        <v>JB1-10</v>
      </c>
      <c r="F299" t="str">
        <f t="shared" si="54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56"/>
        <v>JB1-10</v>
      </c>
      <c r="F300" t="str">
        <f t="shared" si="54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56"/>
        <v>JB1-10</v>
      </c>
      <c r="F301" t="str">
        <f t="shared" si="54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56"/>
        <v>JB1-10</v>
      </c>
      <c r="F302" t="str">
        <f t="shared" si="54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56"/>
        <v>JB1-10</v>
      </c>
      <c r="F303" t="str">
        <f t="shared" si="54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56"/>
        <v>JB1-10</v>
      </c>
      <c r="F304" t="str">
        <f t="shared" si="54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56"/>
        <v>JB1-10</v>
      </c>
      <c r="F305" t="str">
        <f t="shared" si="54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56"/>
        <v>JB1-10</v>
      </c>
      <c r="F306" t="str">
        <f t="shared" si="54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56"/>
        <v>JB1-10</v>
      </c>
      <c r="F307" t="str">
        <f t="shared" si="54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56"/>
        <v>JB1-10</v>
      </c>
      <c r="F308" t="str">
        <f t="shared" si="54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56"/>
        <v>JB1-10</v>
      </c>
      <c r="F309" t="str">
        <f t="shared" si="54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56"/>
        <v>JB1-10</v>
      </c>
      <c r="F310" t="str">
        <f t="shared" si="54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43363.474152427225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203665.22905170496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95885.589837542706</v>
      </c>
      <c r="J310" s="74">
        <f t="shared" si="55"/>
        <v>95885.589837542706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56"/>
        <v>JB1-10</v>
      </c>
      <c r="F311" t="str">
        <f t="shared" si="54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945.0998427499278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2079.4086740183911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890.4480455951458</v>
      </c>
      <c r="J311" s="74">
        <f t="shared" si="55"/>
        <v>890.4480455951458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56"/>
        <v>JB1-10</v>
      </c>
      <c r="F312" t="str">
        <f t="shared" si="54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5995.1520050262798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14508.267852163597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11177.169553306838</v>
      </c>
      <c r="J312" s="74">
        <f t="shared" si="55"/>
        <v>11177.169553306838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56"/>
        <v>JB1-10</v>
      </c>
      <c r="F313" t="str">
        <f t="shared" si="54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3642.2041305389598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140966.41178672769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55"/>
        <v>140966.41178672769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56"/>
        <v>JB1-10</v>
      </c>
      <c r="F314" t="str">
        <f t="shared" si="54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570.73433994830236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6750.3604057385455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55"/>
        <v>6750.3604057385455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56"/>
        <v>JB1-10</v>
      </c>
      <c r="F315" t="str">
        <f t="shared" si="54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366.12748029483765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8863.3651432073912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55"/>
        <v>8863.3651432073912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56"/>
        <v>JB1-10</v>
      </c>
      <c r="F316" t="str">
        <f t="shared" si="54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3806.1177747553907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176278.92454459635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55"/>
        <v>176278.92454459635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56"/>
        <v>JB1-10</v>
      </c>
      <c r="F317" t="str">
        <f t="shared" si="54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1076.511744966979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39769.896347838599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55"/>
        <v>39769.896347838599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57">Jordbund1</f>
        <v>JB1-10</v>
      </c>
      <c r="F318" t="str">
        <f t="shared" si="54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250.48407909880524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1212.167603982848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55"/>
        <v>1212.167603982848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57"/>
        <v>JB1-10</v>
      </c>
      <c r="F319" t="str">
        <f t="shared" si="54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1788.5778124744493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30376.64717247595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55"/>
        <v>30376.64717247595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57"/>
        <v>JB1-10</v>
      </c>
      <c r="F320" t="str">
        <f t="shared" si="54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5533.8069983056603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45070.924671159679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10800.22044245319</v>
      </c>
      <c r="J320" s="74">
        <f t="shared" si="55"/>
        <v>10800.22044245319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57"/>
        <v>JB1-10</v>
      </c>
      <c r="F321" t="str">
        <f t="shared" si="54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392.50712653403053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11186.453106219871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55"/>
        <v>11186.453106219871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57"/>
        <v>JB1-10</v>
      </c>
      <c r="F322" t="str">
        <f t="shared" si="54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186.57278600688875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2593.8167810713803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55"/>
        <v>2593.8167810713803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57"/>
        <v>JB1-10</v>
      </c>
      <c r="F323" t="str">
        <f t="shared" si="54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4647.0072428057565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64082.229878291386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55"/>
        <v>64082.229878291386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57"/>
        <v>JB1-10</v>
      </c>
      <c r="F324" t="str">
        <f t="shared" si="54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53658.438832916305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252017.58966655802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143461.01291768815</v>
      </c>
      <c r="J324" s="74">
        <f t="shared" si="55"/>
        <v>143461.01291768815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57"/>
        <v>JB1-10</v>
      </c>
      <c r="F325" t="str">
        <f t="shared" si="54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1169.4769179456355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2573.0831148639872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1332.2604448498553</v>
      </c>
      <c r="J325" s="74">
        <f t="shared" si="55"/>
        <v>1332.2604448498553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57"/>
        <v>JB1-10</v>
      </c>
      <c r="F326" t="str">
        <f t="shared" si="54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7418.4668881686412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17952.689869368114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16722.930613316399</v>
      </c>
      <c r="J326" s="74">
        <f t="shared" si="55"/>
        <v>16722.930613316399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57"/>
        <v>JB1-10</v>
      </c>
      <c r="F327" t="str">
        <f t="shared" si="54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4506.9033645354402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174433.38505963387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55"/>
        <v>174433.38505963387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57"/>
        <v>JB1-10</v>
      </c>
      <c r="F328" t="str">
        <f t="shared" si="54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706.23293609528866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8352.9700516670255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55"/>
        <v>8352.9700516670255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57"/>
        <v>JB1-10</v>
      </c>
      <c r="F329" t="str">
        <f t="shared" si="54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453.05016238766149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10967.625304163399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55"/>
        <v>10967.625304163399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57"/>
        <v>JB1-10</v>
      </c>
      <c r="F330" t="str">
        <f t="shared" si="54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4709.7319068508268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218129.47590314422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55"/>
        <v>218129.47590314422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57"/>
        <v>JB1-10</v>
      </c>
      <c r="F331" t="str">
        <f t="shared" si="54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1332.0874480024415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49211.706217788596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55"/>
        <v>49211.706217788596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57"/>
        <v>JB1-10</v>
      </c>
      <c r="F332" t="str">
        <f t="shared" si="54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309.95174855449835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1499.9494967797839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55"/>
        <v>1499.9494967797839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57"/>
        <v>JB1-10</v>
      </c>
      <c r="F333" t="str">
        <f t="shared" si="54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2213.2058149035443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37588.396596727602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55"/>
        <v>37588.396596727602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57"/>
        <v>JB1-10</v>
      </c>
      <c r="F334" t="str">
        <f t="shared" si="54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6847.5935135637137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55771.256844166644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16158.951173307649</v>
      </c>
      <c r="J334" s="74">
        <f t="shared" si="55"/>
        <v>16158.951173307649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57"/>
        <v>JB1-10</v>
      </c>
      <c r="F335" t="str">
        <f t="shared" si="54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485.6926261622221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13842.23984562333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55"/>
        <v>13842.23984562333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230.86721305232541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3209.6173521908654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55"/>
        <v>3209.6173521908654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57"/>
        <v>JB1-10</v>
      </c>
      <c r="F337" t="str">
        <f t="shared" si="58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5750.2577634281761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79296.054557674564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55"/>
        <v>79296.054557674564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59">Organ6</f>
        <v>OC6</v>
      </c>
      <c r="F338" t="str">
        <f t="shared" si="58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59"/>
        <v>OC6</v>
      </c>
      <c r="F339" t="str">
        <f t="shared" si="58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59"/>
        <v>OC6</v>
      </c>
      <c r="F340" t="str">
        <f t="shared" si="58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59"/>
        <v>OC6</v>
      </c>
      <c r="F341" t="str">
        <f t="shared" si="58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59"/>
        <v>OC6</v>
      </c>
      <c r="F342" t="str">
        <f t="shared" si="58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59"/>
        <v>OC6</v>
      </c>
      <c r="F343" t="str">
        <f t="shared" si="58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59"/>
        <v>OC6</v>
      </c>
      <c r="F344" t="str">
        <f t="shared" si="58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59"/>
        <v>OC6</v>
      </c>
      <c r="F345" t="str">
        <f t="shared" si="58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59"/>
        <v>OC6</v>
      </c>
      <c r="F346" t="str">
        <f t="shared" si="58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59"/>
        <v>OC6</v>
      </c>
      <c r="F347" t="str">
        <f t="shared" si="58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59"/>
        <v>OC6</v>
      </c>
      <c r="F348" t="str">
        <f t="shared" si="58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59"/>
        <v>OC6</v>
      </c>
      <c r="F349" t="str">
        <f t="shared" si="58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59"/>
        <v>OC6</v>
      </c>
      <c r="F350" t="str">
        <f t="shared" si="58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59"/>
        <v>OC6</v>
      </c>
      <c r="F351" t="str">
        <f t="shared" si="58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59"/>
        <v>OC6</v>
      </c>
      <c r="F352" t="str">
        <f t="shared" si="58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4153.0281200981244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34935.27254626542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16447.52631478176</v>
      </c>
      <c r="J352" s="74">
        <f t="shared" si="60"/>
        <v>16447.52631478176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59"/>
        <v>OC6</v>
      </c>
      <c r="F353" t="str">
        <f t="shared" si="58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112.30451890716081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520.19453157796886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222.75861871719212</v>
      </c>
      <c r="J353" s="74">
        <f t="shared" si="60"/>
        <v>222.75861871719212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59"/>
        <v>OC6</v>
      </c>
      <c r="F354" t="str">
        <f t="shared" si="58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453.61549532985964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2395.0898153416592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1845.1771937392143</v>
      </c>
      <c r="J354" s="74">
        <f t="shared" si="60"/>
        <v>1845.1771937392143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59"/>
        <v>OC6</v>
      </c>
      <c r="F355" t="str">
        <f t="shared" si="58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1333.8196227610581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79420.955617684449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60"/>
        <v>79420.955617684449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59"/>
        <v>OC6</v>
      </c>
      <c r="F356" t="str">
        <f t="shared" si="58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25.261099168726226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629.00136930128303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60"/>
        <v>629.00136930128303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59"/>
        <v>OC6</v>
      </c>
      <c r="F357" t="str">
        <f t="shared" si="58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42.946180543416538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2188.7554998222508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60"/>
        <v>2188.7554998222508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59"/>
        <v>OC6</v>
      </c>
      <c r="F358" t="str">
        <f t="shared" si="58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119.98259301094923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11698.840054058643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60"/>
        <v>11698.840054058643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59"/>
        <v>OC6</v>
      </c>
      <c r="F359" t="str">
        <f t="shared" si="58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127.91995950888544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6832.4608772885904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60"/>
        <v>6832.4608772885904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59"/>
        <v>OC6</v>
      </c>
      <c r="F360" t="str">
        <f t="shared" si="58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27.594964857400839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281.13750196719974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60"/>
        <v>281.13750196719974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59"/>
        <v>OC6</v>
      </c>
      <c r="F361" t="str">
        <f t="shared" si="58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197.0414329626538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7045.2424863927736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60"/>
        <v>7045.2424863927736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59"/>
        <v>OC6</v>
      </c>
      <c r="F362" t="str">
        <f t="shared" si="58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1430.5114592593595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24528.45486746051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5877.6854838048575</v>
      </c>
      <c r="J362" s="74">
        <f t="shared" si="60"/>
        <v>5877.6854838048575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59"/>
        <v>OC6</v>
      </c>
      <c r="F363" t="str">
        <f t="shared" si="58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43.241152898637949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2594.4691739182772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60"/>
        <v>2594.4691739182772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59"/>
        <v>OC6</v>
      </c>
      <c r="F364" t="str">
        <f t="shared" si="58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91.773876584838561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2686.0646805318606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60"/>
        <v>2686.0646805318606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59"/>
        <v>OC6</v>
      </c>
      <c r="F365" t="str">
        <f t="shared" si="58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2659.7407767838267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44013.390374218761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60"/>
        <v>44013.390374218761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59"/>
        <v>OC6</v>
      </c>
      <c r="F366" t="str">
        <f t="shared" si="58"/>
        <v>Halm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3287.676142844382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27655.931713606937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15743.13912797075</v>
      </c>
      <c r="J366" s="74">
        <f t="shared" si="60"/>
        <v>15743.13912797075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59"/>
        <v>OC6</v>
      </c>
      <c r="F367" t="str">
        <f t="shared" si="58"/>
        <v>Halm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88.904018192866161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411.8034122693561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213.21868463998726</v>
      </c>
      <c r="J367" s="74">
        <f t="shared" si="60"/>
        <v>213.21868463998726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59"/>
        <v>OC6</v>
      </c>
      <c r="F368" t="str">
        <f t="shared" si="58"/>
        <v>Halm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359.09721747448225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1896.0333082652662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1766.1550266490956</v>
      </c>
      <c r="J368" s="74">
        <f t="shared" si="60"/>
        <v>1766.1550266490956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59"/>
        <v>OC6</v>
      </c>
      <c r="F369" t="str">
        <f t="shared" si="58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1055.8962823747061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62872.288237719498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60"/>
        <v>62872.288237719498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61">Organ6</f>
        <v>OC6</v>
      </c>
      <c r="F370" t="str">
        <f t="shared" si="58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19.997532084392677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497.93854890137766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60"/>
        <v>497.93854890137766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61"/>
        <v>OC6</v>
      </c>
      <c r="F371" t="str">
        <f t="shared" si="58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33.997634765724179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1732.692154060114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60"/>
        <v>1732.692154060114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61"/>
        <v>OC6</v>
      </c>
      <c r="F372" t="str">
        <f t="shared" si="58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94.982238788545629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9261.1935754897131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60"/>
        <v>9261.1935754897131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61"/>
        <v>OC6</v>
      </c>
      <c r="F373" t="str">
        <f t="shared" si="58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101.26572392701387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5408.8048463896648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60"/>
        <v>5408.8048463896648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61"/>
        <v>OC6</v>
      </c>
      <c r="F374" t="str">
        <f t="shared" si="58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21.845098323620871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222.55786172104945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60"/>
        <v>222.55786172104945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61"/>
        <v>OC6</v>
      </c>
      <c r="F375" t="str">
        <f t="shared" si="58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155.98459715892352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5577.2498941133799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60"/>
        <v>5577.2498941133799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61"/>
        <v>OC6</v>
      </c>
      <c r="F376" t="str">
        <f t="shared" si="58"/>
        <v>Halm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1132.4407783112672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19417.546319594807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5625.9657866503758</v>
      </c>
      <c r="J376" s="74">
        <f t="shared" si="60"/>
        <v>5625.9657866503758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61"/>
        <v>OC6</v>
      </c>
      <c r="F377" t="str">
        <f t="shared" si="58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34.231144760604046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2053.8686856362428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60"/>
        <v>2053.8686856362428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61"/>
        <v>OC6</v>
      </c>
      <c r="F378" t="str">
        <f t="shared" si="58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72.651274168880292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2126.3787561623499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60"/>
        <v>2126.3787561623499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61"/>
        <v>OC6</v>
      </c>
      <c r="F379" t="str">
        <f t="shared" si="58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2105.5398723801477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34842.473808146686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60"/>
        <v>34842.473808146686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61"/>
        <v>OC6</v>
      </c>
      <c r="F380" t="str">
        <f t="shared" si="58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61"/>
        <v>OC6</v>
      </c>
      <c r="F381" t="str">
        <f t="shared" si="58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61"/>
        <v>OC6</v>
      </c>
      <c r="F382" t="str">
        <f t="shared" si="58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61"/>
        <v>OC6</v>
      </c>
      <c r="F383" t="str">
        <f t="shared" si="58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61"/>
        <v>OC6</v>
      </c>
      <c r="F384" t="str">
        <f t="shared" si="58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61"/>
        <v>OC6</v>
      </c>
      <c r="F385" t="str">
        <f t="shared" si="58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61"/>
        <v>OC6</v>
      </c>
      <c r="F386" t="str">
        <f t="shared" si="58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61"/>
        <v>OC6</v>
      </c>
      <c r="F387" t="str">
        <f t="shared" si="58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61"/>
        <v>OC6</v>
      </c>
      <c r="F388" t="str">
        <f t="shared" si="58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61"/>
        <v>OC6</v>
      </c>
      <c r="F389" t="str">
        <f t="shared" si="58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61"/>
        <v>OC6</v>
      </c>
      <c r="F390" t="str">
        <f t="shared" si="58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61"/>
        <v>OC6</v>
      </c>
      <c r="F391" t="str">
        <f t="shared" si="58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61"/>
        <v>OC6</v>
      </c>
      <c r="F392" t="str">
        <f t="shared" si="58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61"/>
        <v>OC6</v>
      </c>
      <c r="F393" t="str">
        <f t="shared" si="58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61"/>
        <v>OC6</v>
      </c>
      <c r="F394" t="str">
        <f t="shared" si="58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648.16045804999635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3653.0582679881009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1719.8598325687985</v>
      </c>
      <c r="J394" s="74">
        <f t="shared" si="60"/>
        <v>1719.8598325687985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61"/>
        <v>OC6</v>
      </c>
      <c r="F395" t="str">
        <f t="shared" si="58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17.527294858343019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46.276264976791566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19.816503711315534</v>
      </c>
      <c r="J395" s="74">
        <f t="shared" si="60"/>
        <v>19.816503711315534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61"/>
        <v>OC6</v>
      </c>
      <c r="F396" t="str">
        <f t="shared" si="58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70.795481930093715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205.59007952499221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158.38659726605397</v>
      </c>
      <c r="J396" s="74">
        <f t="shared" si="60"/>
        <v>158.38659726605397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61"/>
        <v>OC6</v>
      </c>
      <c r="F397" t="str">
        <f t="shared" si="58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208.16838043091659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9668.2388746152283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60"/>
        <v>9668.2388746152283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61"/>
        <v>OC6</v>
      </c>
      <c r="F398" t="str">
        <f t="shared" si="58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3.9424836852925322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55.955670945356907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60"/>
        <v>55.955670945356907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61"/>
        <v>OC6</v>
      </c>
      <c r="F399" t="str">
        <f t="shared" si="58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6.7025830905910215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194.71067712291588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60"/>
        <v>194.71067712291588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61"/>
        <v>OC6</v>
      </c>
      <c r="F400" t="str">
        <f t="shared" ref="F400:F467" si="62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18.725607001708841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1040.7234013408238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60"/>
        <v>1040.7234013408238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61"/>
        <v>OC6</v>
      </c>
      <c r="F401" t="str">
        <f t="shared" si="62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19.964386744161317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885.06039456668975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60"/>
        <v>885.06039456668975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63">Organ6</f>
        <v>OC6</v>
      </c>
      <c r="F402" t="str">
        <f t="shared" si="62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4.3067286193631373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25.009862169220838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60"/>
        <v>25.009862169220838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63"/>
        <v>OC6</v>
      </c>
      <c r="F403" t="str">
        <f t="shared" si="62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30.752131156021115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626.7415136739005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60"/>
        <v>626.7415136739005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63"/>
        <v>OC6</v>
      </c>
      <c r="F404" t="str">
        <f t="shared" si="62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223.25901387284802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2182.0400023711977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522.8761826344321</v>
      </c>
      <c r="J404" s="74">
        <f t="shared" si="60"/>
        <v>522.8761826344321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63"/>
        <v>OC6</v>
      </c>
      <c r="F405" t="str">
        <f t="shared" si="62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6.74861923851575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230.80277795723865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64">IF(I405&lt;&gt;0,I405,H405)</f>
        <v>230.80277795723865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63"/>
        <v>OC6</v>
      </c>
      <c r="F406" t="str">
        <f t="shared" si="62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14.323090565263824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238.95107186927942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64"/>
        <v>238.95107186927942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63"/>
        <v>OC6</v>
      </c>
      <c r="F407" t="str">
        <f t="shared" si="62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415.10405186799608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6869.1418503115992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64"/>
        <v>6869.1418503115992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63"/>
        <v>OC6</v>
      </c>
      <c r="F408" t="str">
        <f t="shared" si="62"/>
        <v>Halm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697.38584848214157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3930.4945374792887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2237.4340154600854</v>
      </c>
      <c r="J408" s="74">
        <f t="shared" si="64"/>
        <v>2237.4340154600854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63"/>
        <v>OC6</v>
      </c>
      <c r="F409" t="str">
        <f t="shared" si="62"/>
        <v>Halm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18.858428101517063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49.790776210749414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25.780077324653004</v>
      </c>
      <c r="J409" s="74">
        <f t="shared" si="64"/>
        <v>25.780077324653004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63"/>
        <v>OC6</v>
      </c>
      <c r="F410" t="str">
        <f t="shared" si="62"/>
        <v>Halm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76.17213704004169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221.20388596428108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206.05141977572785</v>
      </c>
      <c r="J410" s="74">
        <f t="shared" si="64"/>
        <v>206.05141977572785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63"/>
        <v>OC6</v>
      </c>
      <c r="F411" t="str">
        <f t="shared" si="62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223.97799929160431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10402.505872059046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64"/>
        <v>10402.505872059046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63"/>
        <v>OC6</v>
      </c>
      <c r="F412" t="str">
        <f t="shared" si="62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4.2419007451742043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60.205297276257483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64"/>
        <v>60.205297276257483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63"/>
        <v>OC6</v>
      </c>
      <c r="F413" t="str">
        <f t="shared" si="62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7.211619495759674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209.49823317272285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64"/>
        <v>209.49823317272285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63"/>
        <v>OC6</v>
      </c>
      <c r="F414" t="str">
        <f t="shared" si="62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20.147747621812712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1119.7624959455745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64"/>
        <v>1119.7624959455745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63"/>
        <v>OC6</v>
      </c>
      <c r="F415" t="str">
        <f t="shared" si="62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21.480608105730209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952.27745931890752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64"/>
        <v>952.27745931890752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63"/>
        <v>OC6</v>
      </c>
      <c r="F416" t="str">
        <f t="shared" si="62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4.6338087353135169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26.909268735363238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64"/>
        <v>26.909268735363238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63"/>
        <v>OC6</v>
      </c>
      <c r="F417" t="str">
        <f t="shared" si="62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33.087641821589841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674.34021447007228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64"/>
        <v>674.34021447007228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63"/>
        <v>OC6</v>
      </c>
      <c r="F418" t="str">
        <f t="shared" si="62"/>
        <v>Halm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240.21471055087486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2347.7578731873718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680.2304087495454</v>
      </c>
      <c r="J418" s="74">
        <f t="shared" si="64"/>
        <v>680.2304087495454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63"/>
        <v>OC6</v>
      </c>
      <c r="F419" t="str">
        <f t="shared" si="62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7.261151918916009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248.3313956269275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64"/>
        <v>248.3313956269275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63"/>
        <v>OC6</v>
      </c>
      <c r="F420" t="str">
        <f t="shared" si="62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15.410876338853395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257.09852233599321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64"/>
        <v>257.09852233599321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63"/>
        <v>OC6</v>
      </c>
      <c r="F421" t="str">
        <f t="shared" si="62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446.6296698988192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7390.8277774856606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64"/>
        <v>7390.8277774856606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65">Organ12</f>
        <v>OC12</v>
      </c>
      <c r="F422" t="str">
        <f t="shared" si="62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65"/>
        <v>OC12</v>
      </c>
      <c r="F423" t="str">
        <f t="shared" si="62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65"/>
        <v>OC12</v>
      </c>
      <c r="F424" t="str">
        <f t="shared" si="62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65"/>
        <v>OC12</v>
      </c>
      <c r="F425" t="str">
        <f t="shared" si="62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65"/>
        <v>OC12</v>
      </c>
      <c r="F426" t="str">
        <f t="shared" si="62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65"/>
        <v>OC12</v>
      </c>
      <c r="F427" t="str">
        <f t="shared" si="62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65"/>
        <v>OC12</v>
      </c>
      <c r="F428" t="str">
        <f t="shared" si="62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65"/>
        <v>OC12</v>
      </c>
      <c r="F429" t="str">
        <f t="shared" si="62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65"/>
        <v>OC12</v>
      </c>
      <c r="F430" t="str">
        <f t="shared" si="62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65"/>
        <v>OC12</v>
      </c>
      <c r="F431" t="str">
        <f t="shared" si="62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65"/>
        <v>OC12</v>
      </c>
      <c r="F432" t="str">
        <f t="shared" si="62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65"/>
        <v>OC12</v>
      </c>
      <c r="F433" t="str">
        <f t="shared" si="62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65"/>
        <v>OC12</v>
      </c>
      <c r="F434" t="str">
        <f t="shared" si="62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65"/>
        <v>OC12</v>
      </c>
      <c r="F435" t="str">
        <f t="shared" si="62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65"/>
        <v>OC12</v>
      </c>
      <c r="F436" t="str">
        <f t="shared" si="62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1796.6458108942293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17632.281988115963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8301.278360004997</v>
      </c>
      <c r="J436" s="74">
        <f t="shared" si="64"/>
        <v>8301.278360004997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65"/>
        <v>OC12</v>
      </c>
      <c r="F437" t="str">
        <f t="shared" si="62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32.633012539823845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176.34879976520804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75.516393701736789</v>
      </c>
      <c r="J437" s="74">
        <f t="shared" si="64"/>
        <v>75.516393701736789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65"/>
        <v>OC12</v>
      </c>
      <c r="F438" t="str">
        <f t="shared" si="62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159.40463041598321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981.93252336245644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756.48081599843647</v>
      </c>
      <c r="J438" s="74">
        <f t="shared" si="64"/>
        <v>756.48081599843647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65"/>
        <v>OC12</v>
      </c>
      <c r="F439" t="str">
        <f t="shared" si="62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1171.3986150504631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81374.718990325578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64"/>
        <v>81374.718990325578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65"/>
        <v>OC12</v>
      </c>
      <c r="F440" t="str">
        <f t="shared" si="62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5.5133034466362671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160.16146512478358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64"/>
        <v>160.16146512478358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65"/>
        <v>OC12</v>
      </c>
      <c r="F441" t="str">
        <f t="shared" si="62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31.425171951535479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1868.51744633315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64"/>
        <v>1868.51744633315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65"/>
        <v>OC12</v>
      </c>
      <c r="F442" t="str">
        <f t="shared" si="62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36.188775432258431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4116.6622512612066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64"/>
        <v>4116.6622512612066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65"/>
        <v>OC12</v>
      </c>
      <c r="F443" t="str">
        <f t="shared" si="62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37.170486845663731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2316.2417173006897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64"/>
        <v>2316.2417173006897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65"/>
        <v>OC12</v>
      </c>
      <c r="F444" t="str">
        <f t="shared" si="62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13.488257970641145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160.32143423904066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64"/>
        <v>160.32143423904066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65"/>
        <v>OC12</v>
      </c>
      <c r="F445" t="str">
        <f t="shared" si="62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96.312703873303633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4017.6190372214837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64"/>
        <v>4017.6190372214837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65"/>
        <v>OC12</v>
      </c>
      <c r="F446" t="str">
        <f t="shared" si="62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901.3113802822603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18030.197939320373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4320.5262325210433</v>
      </c>
      <c r="J446" s="74">
        <f t="shared" si="64"/>
        <v>4320.5262325210433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65"/>
        <v>OC12</v>
      </c>
      <c r="F447" t="str">
        <f t="shared" si="62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21.136023483224019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1479.5216438256814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64"/>
        <v>1479.5216438256814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65"/>
        <v>OC12</v>
      </c>
      <c r="F448" t="str">
        <f t="shared" si="62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64.473732983194068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2201.5421018651632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64"/>
        <v>2201.5421018651632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65"/>
        <v>OC12</v>
      </c>
      <c r="F449" t="str">
        <f t="shared" si="62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2242.1606682189854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43287.153860635735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64"/>
        <v>43287.153860635735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65"/>
        <v>OC12</v>
      </c>
      <c r="F450" t="str">
        <f t="shared" si="62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65"/>
        <v>OC12</v>
      </c>
      <c r="F451" t="str">
        <f t="shared" si="62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65"/>
        <v>OC12</v>
      </c>
      <c r="F452" t="str">
        <f t="shared" si="62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65"/>
        <v>OC12</v>
      </c>
      <c r="F453" t="str">
        <f t="shared" si="62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66">Organ12</f>
        <v>OC12</v>
      </c>
      <c r="F454" t="str">
        <f t="shared" si="62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66"/>
        <v>OC12</v>
      </c>
      <c r="F455" t="str">
        <f t="shared" si="62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66"/>
        <v>OC12</v>
      </c>
      <c r="F456" t="str">
        <f t="shared" si="62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66"/>
        <v>OC12</v>
      </c>
      <c r="F457" t="str">
        <f t="shared" si="62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66"/>
        <v>OC12</v>
      </c>
      <c r="F458" t="str">
        <f t="shared" si="62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66"/>
        <v>OC12</v>
      </c>
      <c r="F459" t="str">
        <f t="shared" si="62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66"/>
        <v>OC12</v>
      </c>
      <c r="F460" t="str">
        <f t="shared" si="62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66"/>
        <v>OC12</v>
      </c>
      <c r="F461" t="str">
        <f t="shared" si="62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66"/>
        <v>OC12</v>
      </c>
      <c r="F462" t="str">
        <f t="shared" si="62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66"/>
        <v>OC12</v>
      </c>
      <c r="F463" t="str">
        <f t="shared" si="62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66"/>
        <v>OC12</v>
      </c>
      <c r="F464" t="str">
        <f t="shared" si="62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66"/>
        <v>OC12</v>
      </c>
      <c r="F465" t="str">
        <f t="shared" si="62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66"/>
        <v>OC12</v>
      </c>
      <c r="F466" t="str">
        <f t="shared" si="62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66"/>
        <v>OC12</v>
      </c>
      <c r="F467" t="str">
        <f t="shared" si="62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66"/>
        <v>OC12</v>
      </c>
      <c r="F469" t="str">
        <f t="shared" si="67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66"/>
        <v>OC12</v>
      </c>
      <c r="F470" t="str">
        <f t="shared" si="67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66"/>
        <v>OC12</v>
      </c>
      <c r="F471" t="str">
        <f t="shared" si="67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66"/>
        <v>OC12</v>
      </c>
      <c r="F472" t="str">
        <f t="shared" si="67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66"/>
        <v>OC12</v>
      </c>
      <c r="F473" t="str">
        <f t="shared" si="67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66"/>
        <v>OC12</v>
      </c>
      <c r="F474" t="str">
        <f t="shared" si="67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66"/>
        <v>OC12</v>
      </c>
      <c r="F475" t="str">
        <f t="shared" si="67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66"/>
        <v>OC12</v>
      </c>
      <c r="F476" t="str">
        <f t="shared" si="67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66"/>
        <v>OC12</v>
      </c>
      <c r="F477" t="str">
        <f t="shared" si="67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66"/>
        <v>OC12</v>
      </c>
      <c r="F478" t="str">
        <f t="shared" si="67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280.40136933031323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1843.7455558671547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868.03540770225663</v>
      </c>
      <c r="J478" s="74">
        <f t="shared" si="68"/>
        <v>868.03540770225663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66"/>
        <v>OC12</v>
      </c>
      <c r="F479" t="str">
        <f t="shared" si="67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5.0930135177759759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15.687907678534982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6.7179034628308036</v>
      </c>
      <c r="J479" s="74">
        <f t="shared" si="68"/>
        <v>6.7179034628308036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66"/>
        <v>OC12</v>
      </c>
      <c r="F480" t="str">
        <f t="shared" si="67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24.878179313477148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84.287271514060578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64.934913974432277</v>
      </c>
      <c r="J480" s="74">
        <f t="shared" si="68"/>
        <v>64.934913974432277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66"/>
        <v>OC12</v>
      </c>
      <c r="F481" t="str">
        <f t="shared" si="67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182.81943703099714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9906.0785083020619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68"/>
        <v>9906.0785083020619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66"/>
        <v>OC12</v>
      </c>
      <c r="F482" t="str">
        <f t="shared" si="67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0.86045776334785684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14.247889874395483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68"/>
        <v>14.247889874395483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66"/>
        <v>OC12</v>
      </c>
      <c r="F483" t="str">
        <f t="shared" si="67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4.9045066051529362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166.22244797148659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68"/>
        <v>166.22244797148659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66"/>
        <v>OC12</v>
      </c>
      <c r="F484" t="str">
        <f t="shared" si="67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5.6479591715085418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366.21637021335238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68"/>
        <v>366.21637021335238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66"/>
        <v>OC12</v>
      </c>
      <c r="F485" t="str">
        <f t="shared" si="67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5.8011742475891381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300.04032881334371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68"/>
        <v>300.04032881334371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69">Organ12</f>
        <v>OC12</v>
      </c>
      <c r="F486" t="str">
        <f t="shared" si="67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2.1051038451289652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14.262120652825642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68"/>
        <v>14.262120652825642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69"/>
        <v>OC12</v>
      </c>
      <c r="F487" t="str">
        <f t="shared" si="67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15.031462454215021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357.40553169270896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68"/>
        <v>357.40553169270896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69"/>
        <v>OC12</v>
      </c>
      <c r="F488" t="str">
        <f t="shared" si="67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140.66709403249149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1603.9580710181533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384.35201571386625</v>
      </c>
      <c r="J488" s="74">
        <f t="shared" ref="J488:J505" si="70">IF(I488&lt;&gt;0,I488,H488)</f>
        <v>384.35201571386625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69"/>
        <v>OC12</v>
      </c>
      <c r="F489" t="str">
        <f t="shared" si="67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3.2986857459366963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131.61756126287418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70"/>
        <v>131.61756126287418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69"/>
        <v>OC12</v>
      </c>
      <c r="F490" t="str">
        <f t="shared" si="67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10.062374511827977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195.84816732777378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70"/>
        <v>195.84816732777378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69"/>
        <v>OC12</v>
      </c>
      <c r="F491" t="str">
        <f t="shared" si="67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349.9325898376452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6755.7985794055785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70"/>
        <v>6755.7985794055785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69"/>
        <v>OC12</v>
      </c>
      <c r="F492" t="str">
        <f t="shared" si="67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69"/>
        <v>OC12</v>
      </c>
      <c r="F493" t="str">
        <f t="shared" si="67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69"/>
        <v>OC12</v>
      </c>
      <c r="F494" t="str">
        <f t="shared" si="67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69"/>
        <v>OC12</v>
      </c>
      <c r="F495" t="str">
        <f t="shared" si="67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69"/>
        <v>OC12</v>
      </c>
      <c r="F496" t="str">
        <f t="shared" si="67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69"/>
        <v>OC12</v>
      </c>
      <c r="F497" t="str">
        <f t="shared" si="67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69"/>
        <v>OC12</v>
      </c>
      <c r="F498" t="str">
        <f t="shared" si="67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69"/>
        <v>OC12</v>
      </c>
      <c r="F499" t="str">
        <f t="shared" si="67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69"/>
        <v>OC12</v>
      </c>
      <c r="F500" t="str">
        <f t="shared" si="67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69"/>
        <v>OC12</v>
      </c>
      <c r="F501" t="str">
        <f t="shared" si="67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69"/>
        <v>OC12</v>
      </c>
      <c r="F502" t="str">
        <f t="shared" si="67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69"/>
        <v>OC12</v>
      </c>
      <c r="F503" t="str">
        <f t="shared" si="67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69"/>
        <v>OC12</v>
      </c>
      <c r="F504" t="str">
        <f t="shared" si="67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69"/>
        <v>OC12</v>
      </c>
      <c r="F505" t="str">
        <f t="shared" si="67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11</vt:i4>
      </vt:variant>
    </vt:vector>
  </HeadingPairs>
  <TitlesOfParts>
    <vt:vector size="49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2023-11-29T15:22:07Z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